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_de_Dados_Anual_2023" sheetId="1" r:id="rId4"/>
    <sheet state="visible" name="Res__400_-_Mensal_2023" sheetId="2" r:id="rId5"/>
    <sheet state="hidden" name="DADOS_LISTA" sheetId="3" r:id="rId6"/>
  </sheets>
  <definedNames>
    <definedName hidden="1" localSheetId="0" name="_xlnm._FilterDatabase">Base_de_Dados_Anual_2023!$C$6:$C$130</definedName>
  </definedNames>
  <calcPr/>
  <extLst>
    <ext uri="GoogleSheetsCustomDataVersion2">
      <go:sheetsCustomData xmlns:go="http://customooxmlschemas.google.com/" r:id="rId7" roundtripDataChecksum="Ea7AKL29rFENvh3F2XXqZA2SrsfOJfDFc8Mpg/veMlo="/>
    </ext>
  </extLst>
</workbook>
</file>

<file path=xl/sharedStrings.xml><?xml version="1.0" encoding="utf-8"?>
<sst xmlns="http://schemas.openxmlformats.org/spreadsheetml/2006/main" count="564" uniqueCount="305">
  <si>
    <t>Tribunal:</t>
  </si>
  <si>
    <t>Ano de Referência</t>
  </si>
  <si>
    <t>Superior Tribunal Militar</t>
  </si>
  <si>
    <t>Sigla</t>
  </si>
  <si>
    <t>Resolução CNJ</t>
  </si>
  <si>
    <t>Pergunta</t>
  </si>
  <si>
    <t>Ano</t>
  </si>
  <si>
    <t>Variáveis Gerais</t>
  </si>
  <si>
    <t>MagP</t>
  </si>
  <si>
    <t>Só 400</t>
  </si>
  <si>
    <t>ANUAL</t>
  </si>
  <si>
    <t>Magp - Total de Magistrados Providos</t>
  </si>
  <si>
    <t>TPEfet</t>
  </si>
  <si>
    <t>TPEfet - Total de pessoal do quadro efetivo</t>
  </si>
  <si>
    <t>TPI</t>
  </si>
  <si>
    <t>TPI - Total de pessoal que ingressou por cessão ou requisição</t>
  </si>
  <si>
    <t>TPSV</t>
  </si>
  <si>
    <t>TPSV - Total de pessoal comissionado sem vínculo efetivo</t>
  </si>
  <si>
    <t>Serv</t>
  </si>
  <si>
    <t>Serv - Total de servidores</t>
  </si>
  <si>
    <t>519</t>
  </si>
  <si>
    <t>TFAuxT</t>
  </si>
  <si>
    <t>TFAuxT - Total de trabalhadores terceirizados</t>
  </si>
  <si>
    <t>TFAuxE</t>
  </si>
  <si>
    <t>TFAuxE - Total de estagiários</t>
  </si>
  <si>
    <t>TFAuxJL</t>
  </si>
  <si>
    <t>TFAuxJL - Total de juízes leigos</t>
  </si>
  <si>
    <t>TFAuxSP</t>
  </si>
  <si>
    <t>TFAuxSP - Total de trabalhadores(as) de Serventias Judiciais Privatizadas</t>
  </si>
  <si>
    <t>TFAuxC</t>
  </si>
  <si>
    <t>TFAuxC - Total de conciliadores</t>
  </si>
  <si>
    <t>TFAuxV</t>
  </si>
  <si>
    <t>TFAuxV - Total de voluntários</t>
  </si>
  <si>
    <t>TFAuxA</t>
  </si>
  <si>
    <t>TFAuxA - Total de aprendizes</t>
  </si>
  <si>
    <t>Tfaux</t>
  </si>
  <si>
    <t>TFaux - Total da força de trabalho auxiliar</t>
  </si>
  <si>
    <t>FTT</t>
  </si>
  <si>
    <t>FTT - Força de trabalho total de magistrados, servidores e auxiliares</t>
  </si>
  <si>
    <t>m² Total</t>
  </si>
  <si>
    <t>m²Total - Área total em metros quadrados</t>
  </si>
  <si>
    <t>ND</t>
  </si>
  <si>
    <t>2. Papel</t>
  </si>
  <si>
    <t>CPP</t>
  </si>
  <si>
    <t>400 e 201</t>
  </si>
  <si>
    <t xml:space="preserve">MENSAL </t>
  </si>
  <si>
    <t>CPp - Consumo de papel próprio</t>
  </si>
  <si>
    <t>CPc</t>
  </si>
  <si>
    <t>CPc - Consumo de papel contratado</t>
  </si>
  <si>
    <t>GPp</t>
  </si>
  <si>
    <t>GPp - Gasto com papel próprio</t>
  </si>
  <si>
    <t>3. Copos descartáveis</t>
  </si>
  <si>
    <t>CC</t>
  </si>
  <si>
    <t xml:space="preserve">CC - Consumo de copos descartáveis </t>
  </si>
  <si>
    <t>GCD</t>
  </si>
  <si>
    <t xml:space="preserve">GC - Gasto com copos descartáveis </t>
  </si>
  <si>
    <t>4. Água envasada em embalagem plástica</t>
  </si>
  <si>
    <t>*STM_AsG</t>
  </si>
  <si>
    <t>STM</t>
  </si>
  <si>
    <t>(*STM) -  Consumo de embalagens descartáveis para água mineral sem gás</t>
  </si>
  <si>
    <t>*STM_AcG</t>
  </si>
  <si>
    <t>(*STM) -  Consumo de embalagens descartáveis para água mineral com gás</t>
  </si>
  <si>
    <t>CeD</t>
  </si>
  <si>
    <t>CEd - Consumo de embalagens descartáveis para água mineral</t>
  </si>
  <si>
    <t>Cer</t>
  </si>
  <si>
    <t>CEr - Consumo de embalagens retornáveis para água mineral</t>
  </si>
  <si>
    <t>GAEd</t>
  </si>
  <si>
    <t>GAed - Gasto com água mineral em embalagens descartáveis</t>
  </si>
  <si>
    <t>Gaer</t>
  </si>
  <si>
    <t>GAer - Gasto com água mineral em embalagens retornáveis</t>
  </si>
  <si>
    <t>5. Impressão</t>
  </si>
  <si>
    <t>QI</t>
  </si>
  <si>
    <t>QI - Quantidade de impressões</t>
  </si>
  <si>
    <t>QEI</t>
  </si>
  <si>
    <t>QEI - Quantidade de equipamentos de impressão</t>
  </si>
  <si>
    <t>Gci</t>
  </si>
  <si>
    <t>GCi - Gasto com contratos de terceirização de impressão</t>
  </si>
  <si>
    <t>QIP</t>
  </si>
  <si>
    <t>QIP - Quantidade de impressões per capita (impressões/corpo funcional)</t>
  </si>
  <si>
    <t>12. Telefonia</t>
  </si>
  <si>
    <t>GTf</t>
  </si>
  <si>
    <t>GTf - Gasto com telefonia fixa</t>
  </si>
  <si>
    <t>LTf</t>
  </si>
  <si>
    <t>LTf - Linhas telefônicas fixas</t>
  </si>
  <si>
    <t>Grtf</t>
  </si>
  <si>
    <t>GRTf - Gasto relativo com telefonia fixa</t>
  </si>
  <si>
    <t>GTm</t>
  </si>
  <si>
    <t>GTm - Gasto com telefonia móvel</t>
  </si>
  <si>
    <t>LTm</t>
  </si>
  <si>
    <t>LTm - Linhas telefônicas móveis</t>
  </si>
  <si>
    <t>Grtm</t>
  </si>
  <si>
    <t>GRTm - Gasto relativo com telefonia móvel</t>
  </si>
  <si>
    <t>6. Energia elétrica</t>
  </si>
  <si>
    <t>Cee</t>
  </si>
  <si>
    <t>CEE - Consumo de energia elétrica</t>
  </si>
  <si>
    <t>Cre</t>
  </si>
  <si>
    <t>CRE - Consumo de energia elétrica por m2</t>
  </si>
  <si>
    <t>Gee</t>
  </si>
  <si>
    <t>GEE - Gasto com energia elétrica</t>
  </si>
  <si>
    <t>Gre</t>
  </si>
  <si>
    <t>GRE - Gasto com energia elétrica por m2</t>
  </si>
  <si>
    <t>Uso de energia alternativa</t>
  </si>
  <si>
    <t>N/A</t>
  </si>
  <si>
    <t>NT - Negociação tarifária</t>
  </si>
  <si>
    <t>7. Água e esgoto</t>
  </si>
  <si>
    <t>CA</t>
  </si>
  <si>
    <t>CA - Consumo de água</t>
  </si>
  <si>
    <t>Cra</t>
  </si>
  <si>
    <t>CRA - Consumo de água por m2</t>
  </si>
  <si>
    <t>Ga</t>
  </si>
  <si>
    <t>GA - Gasto com água</t>
  </si>
  <si>
    <t>Gra</t>
  </si>
  <si>
    <t>GRA - Gasto com água por m2</t>
  </si>
  <si>
    <t>8. Gestão de resíduos</t>
  </si>
  <si>
    <t>Dpa</t>
  </si>
  <si>
    <t>Dpa - Destinação de resíduos de papel</t>
  </si>
  <si>
    <t>Dpl</t>
  </si>
  <si>
    <t>Dpl - Destinação de resíduos de plásticos</t>
  </si>
  <si>
    <t>Dmt</t>
  </si>
  <si>
    <t>Dmt - Destinação de resíduos de metais</t>
  </si>
  <si>
    <t>Dvd</t>
  </si>
  <si>
    <t>Dvd - Destinação de resíduos vidros</t>
  </si>
  <si>
    <t>Cge</t>
  </si>
  <si>
    <t>Cge - Coleta geral</t>
  </si>
  <si>
    <t>TMR</t>
  </si>
  <si>
    <t>TMR - Total de materiais destinados à reciclagem</t>
  </si>
  <si>
    <t>Dl</t>
  </si>
  <si>
    <t xml:space="preserve">Destinação de resíduos eletroeletrônicos </t>
  </si>
  <si>
    <t>-</t>
  </si>
  <si>
    <t>5 kg</t>
  </si>
  <si>
    <t>Dimp</t>
  </si>
  <si>
    <t>Dimp - Destinação de suprimentos de impressão</t>
  </si>
  <si>
    <t>Dpb</t>
  </si>
  <si>
    <t>Dpb - Destinação de pilhas e baterias</t>
  </si>
  <si>
    <t>Dlp</t>
  </si>
  <si>
    <t>Dlp - Destinação de lâmpadas</t>
  </si>
  <si>
    <t>Drs</t>
  </si>
  <si>
    <t>Drs - Destinação de resíduos de saúde</t>
  </si>
  <si>
    <t>Dob</t>
  </si>
  <si>
    <t>Dob - Destinação de resíduos de obras e reformas</t>
  </si>
  <si>
    <t>9. Reformas e Construções</t>
  </si>
  <si>
    <t>Gref</t>
  </si>
  <si>
    <t>Gref - Gastos com reformas</t>
  </si>
  <si>
    <t>GConst</t>
  </si>
  <si>
    <t>Gastos com construção de novos edifícios no período-base</t>
  </si>
  <si>
    <t>10. Limpeza</t>
  </si>
  <si>
    <t>GLB</t>
  </si>
  <si>
    <t>GLB - Gastos com contratos de limpeza no período-base</t>
  </si>
  <si>
    <t>mcont</t>
  </si>
  <si>
    <t>m²Cont - Área contratada</t>
  </si>
  <si>
    <t>Grl</t>
  </si>
  <si>
    <t>GRL - Gasto relativo com contratos de limpeza por m2</t>
  </si>
  <si>
    <t>Gml</t>
  </si>
  <si>
    <t>GML - Gasto com material de limpeza</t>
  </si>
  <si>
    <t>11. Vigilância</t>
  </si>
  <si>
    <t>GV</t>
  </si>
  <si>
    <t>GV - Gastos com contratos de vigilância armada e desarmada</t>
  </si>
  <si>
    <t>Quantidade de postos de vigilância armada e desarmada</t>
  </si>
  <si>
    <t>QPV</t>
  </si>
  <si>
    <t>QPV - Quantidade total de pessoas contratadas para o serviço de vigilância armada e desarmada</t>
  </si>
  <si>
    <t>Grv</t>
  </si>
  <si>
    <t>GRV - Gasto médio com contrato de vigilância armada e desarmada</t>
  </si>
  <si>
    <t>Gve</t>
  </si>
  <si>
    <t>GVe - Gastos com contratos de vigilância eletrônica</t>
  </si>
  <si>
    <t>13. Veículos</t>
  </si>
  <si>
    <t>STM**  Quantidade de motoristas.</t>
  </si>
  <si>
    <t>Qvs</t>
  </si>
  <si>
    <t>QVs - Quantidade de veículos de serviço</t>
  </si>
  <si>
    <t>VGEF</t>
  </si>
  <si>
    <t>VGEF - Quantidade de veículos a gasolina, etanol e flex</t>
  </si>
  <si>
    <t>VD</t>
  </si>
  <si>
    <t>VD - Quantidade de veículos a diesel</t>
  </si>
  <si>
    <t>Valt</t>
  </si>
  <si>
    <t>VAlt - Quantidade de veículos movidos por fontes alternativas</t>
  </si>
  <si>
    <t>Qve</t>
  </si>
  <si>
    <t>QVe - Quantidade de veículos</t>
  </si>
  <si>
    <t>Km</t>
  </si>
  <si>
    <t>Km - Quilometragem</t>
  </si>
  <si>
    <t>Uvs</t>
  </si>
  <si>
    <t>UVs - Usuários por veículo de serviço</t>
  </si>
  <si>
    <t>QVm</t>
  </si>
  <si>
    <t>QVm - Quantidade de veículos destinados à locomoção de magistrados</t>
  </si>
  <si>
    <t>Uvm</t>
  </si>
  <si>
    <t>UVm - Usuários por veículo de magistrado</t>
  </si>
  <si>
    <t>Gmv</t>
  </si>
  <si>
    <t>Gmv - Gasto com manutenção de veículos</t>
  </si>
  <si>
    <t>Grmv</t>
  </si>
  <si>
    <t>GRmv - Gasto relativo com manutenção dos veículos</t>
  </si>
  <si>
    <t>Gcm</t>
  </si>
  <si>
    <t>Gcm - Gastos com contratos de motoristas</t>
  </si>
  <si>
    <t>Grcm</t>
  </si>
  <si>
    <t>Grcm - Gastos com contrato de motoristas por veículo</t>
  </si>
  <si>
    <t>Gcv</t>
  </si>
  <si>
    <t>Gcv - Gastos com contratos de agenciamento de transporte terrestre</t>
  </si>
  <si>
    <t>14. Combustível</t>
  </si>
  <si>
    <t>Cg</t>
  </si>
  <si>
    <t>CG - Consumo de gasolina</t>
  </si>
  <si>
    <t>CE</t>
  </si>
  <si>
    <t>CE - Consumo de etanol</t>
  </si>
  <si>
    <t>CD</t>
  </si>
  <si>
    <t>CD - Consumo de diesel</t>
  </si>
  <si>
    <t>*STM_CC</t>
  </si>
  <si>
    <t>(*STM) -  Consumo combustível</t>
  </si>
  <si>
    <t>CRAG</t>
  </si>
  <si>
    <t>CRAG - Consumo de Gasolina e Etanol por veículo</t>
  </si>
  <si>
    <t>CRD</t>
  </si>
  <si>
    <t>CRD - Consumo de diesel por veículo</t>
  </si>
  <si>
    <t>GC</t>
  </si>
  <si>
    <t>GC - Gasto com combustível</t>
  </si>
  <si>
    <t>15. Apoio ao serviço administrativo</t>
  </si>
  <si>
    <t>GCGraf</t>
  </si>
  <si>
    <t xml:space="preserve">GCGraf - Gastos com serviços gráficos no período-base </t>
  </si>
  <si>
    <t>16. Aquisição e Contratações</t>
  </si>
  <si>
    <t>ACR</t>
  </si>
  <si>
    <t>ACR - Aquisições e contratações realizadas</t>
  </si>
  <si>
    <t>ACS</t>
  </si>
  <si>
    <t>ACS - Aquisições e contratações sustentáveis realizadas</t>
  </si>
  <si>
    <t>PCS</t>
  </si>
  <si>
    <t>PCS - Percentual de Aquisições e Contratações Sustentáveis sobre a totalidade</t>
  </si>
  <si>
    <t>17. Qualidade de vida</t>
  </si>
  <si>
    <t>PVQ</t>
  </si>
  <si>
    <t>PVQ - Participação em ações de qualidade de vida</t>
  </si>
  <si>
    <t>*STM_QV</t>
  </si>
  <si>
    <t>Quantidade de vacinas</t>
  </si>
  <si>
    <t>AQV</t>
  </si>
  <si>
    <t>AQV - Quantidade de ações de qualidade de vida</t>
  </si>
  <si>
    <t>PAS</t>
  </si>
  <si>
    <t>PAS - Participações em ações solidárias</t>
  </si>
  <si>
    <t>As</t>
  </si>
  <si>
    <t>AS - Quantidade de ações solidárias</t>
  </si>
  <si>
    <t>PRQV</t>
  </si>
  <si>
    <t>PRQV - Percentual de participantes em ações de qualidade de vida</t>
  </si>
  <si>
    <t>PRAS</t>
  </si>
  <si>
    <t>PRAS - Percentual de participantes em ações solidárias</t>
  </si>
  <si>
    <t>18. Capacitação em sustentabilidade</t>
  </si>
  <si>
    <t>Acap</t>
  </si>
  <si>
    <t>ACap - Ações de capacitação em sustentabilidade</t>
  </si>
  <si>
    <t>Asen</t>
  </si>
  <si>
    <t>ASen - Ações de sensibilização em sustentabilidade</t>
  </si>
  <si>
    <t>Pcap</t>
  </si>
  <si>
    <t>PCap - Participação em ações de capacitação em sustentabilidade</t>
  </si>
  <si>
    <t>Prcap</t>
  </si>
  <si>
    <t>Prcap - Percentual de participantes em ações de capacitação em sustentabilidade</t>
  </si>
  <si>
    <t>Resolução CNJ nº 400/2021 -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</si>
  <si>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</si>
  <si>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</si>
  <si>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</si>
  <si>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</si>
  <si>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</si>
  <si>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</si>
  <si>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</si>
  <si>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</si>
  <si>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</si>
  <si>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</si>
  <si>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</si>
  <si>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</si>
  <si>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2023</t>
  </si>
  <si>
    <t>CPP - Consumo de papel próprio</t>
  </si>
  <si>
    <t>GPP</t>
  </si>
  <si>
    <t>GPP - Gasto com papel próprio</t>
  </si>
  <si>
    <t>CPC</t>
  </si>
  <si>
    <t>CPC - Consumo de papel contratado</t>
  </si>
  <si>
    <t>3. Copos  Descartáveis</t>
  </si>
  <si>
    <t>CC - Consumo de copos descartáveis</t>
  </si>
  <si>
    <t>GC - Gasto com copos descartáveis</t>
  </si>
  <si>
    <t>4. Água envazada em embalagem plástica</t>
  </si>
  <si>
    <r>
      <rPr>
        <rFont val="Calibri"/>
        <color rgb="FF000000"/>
        <sz val="10.0"/>
      </rPr>
      <t xml:space="preserve">(*STM) -  Consumo de embalagens descartáveis para água mineral </t>
    </r>
    <r>
      <rPr>
        <rFont val="Calibri"/>
        <b/>
        <color rgb="FF000000"/>
        <sz val="10.0"/>
      </rPr>
      <t>sem gás</t>
    </r>
  </si>
  <si>
    <r>
      <rPr>
        <rFont val="Calibri"/>
        <color rgb="FF000000"/>
        <sz val="10.0"/>
      </rPr>
      <t xml:space="preserve">(*STM) -  Consumo de embalagens descartáveis para água mineral </t>
    </r>
    <r>
      <rPr>
        <rFont val="Calibri"/>
        <b/>
        <color rgb="FF000000"/>
        <sz val="10.0"/>
      </rPr>
      <t>com gás</t>
    </r>
  </si>
  <si>
    <t>CED</t>
  </si>
  <si>
    <t>CED - Consumo de embalagens descartáveis para água mineral</t>
  </si>
  <si>
    <t>CER</t>
  </si>
  <si>
    <t>CER - Consumo de embalagens retornáveis para água mineral</t>
  </si>
  <si>
    <t>GAED</t>
  </si>
  <si>
    <t>GAED - Gasto com água mineral em embalagens descartáveis</t>
  </si>
  <si>
    <t>GAER</t>
  </si>
  <si>
    <t>GAER - Gasto com água mineral em embalagens retornáveis</t>
  </si>
  <si>
    <t>6. Energia Elétrica</t>
  </si>
  <si>
    <t>CEE</t>
  </si>
  <si>
    <t>GEE</t>
  </si>
  <si>
    <t>7. Água e Esgoto</t>
  </si>
  <si>
    <t>GA</t>
  </si>
  <si>
    <t>GA - Gasto com Água</t>
  </si>
  <si>
    <t>DPl</t>
  </si>
  <si>
    <t>DPl - Destinação de resíduos de plásticos</t>
  </si>
  <si>
    <t>DMt</t>
  </si>
  <si>
    <t>DMt - Destinação de resíduos metais</t>
  </si>
  <si>
    <t>DVd</t>
  </si>
  <si>
    <t>DVd - Destinação de resíduos de vidros</t>
  </si>
  <si>
    <t>GTF</t>
  </si>
  <si>
    <t>GTF - Gasto com telefonia fixa</t>
  </si>
  <si>
    <t>LTF</t>
  </si>
  <si>
    <t>LTF - Linhas Telefônicas Fixas</t>
  </si>
  <si>
    <t>GRTF</t>
  </si>
  <si>
    <t>GRTF - Gasto relativo com telefonia fixa</t>
  </si>
  <si>
    <t>GTM</t>
  </si>
  <si>
    <t>GTM - Gasto com telefonia móvel</t>
  </si>
  <si>
    <t>LTM</t>
  </si>
  <si>
    <t>LTM - Linhas Telefônicas Móveis</t>
  </si>
  <si>
    <t>GRTM</t>
  </si>
  <si>
    <t>GRTF - Gasto relativo com telefonia móvel</t>
  </si>
  <si>
    <t>(*STM) -  Consumo combustível (em litros)</t>
  </si>
  <si>
    <t>GCGraf - Gastos com serviços gráficos</t>
  </si>
  <si>
    <t xml:space="preserve">Res. CNJ nº </t>
  </si>
  <si>
    <t>AFERIÇÃO</t>
  </si>
  <si>
    <t>Só 201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</si>
</sst>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R$]#,##0.00&quot; &quot;;&quot;(&quot;[$R$]#,##0.00&quot;)&quot;"/>
    <numFmt numFmtId="165" formatCode="&quot; &quot;#,##0.00&quot; &quot;;&quot;-&quot;#,##0.00&quot; &quot;;&quot; -&quot;00&quot; &quot;;&quot; &quot;@"/>
    <numFmt numFmtId="166" formatCode="[$R$ -416]#,##0.00"/>
    <numFmt numFmtId="167" formatCode="&quot;R$&quot;\ #,##0.00;[Red]\-&quot;R$&quot;\ #,##0.00"/>
    <numFmt numFmtId="168" formatCode="#,##0.00&quot; &quot;;[Red]&quot;-&quot;#,##0.00&quot; &quot;"/>
    <numFmt numFmtId="169" formatCode="[$R$]&quot; &quot;#,##0.00;[Red]&quot;-&quot;[$R$]&quot; &quot;#,##0.00"/>
    <numFmt numFmtId="170" formatCode="&quot; &quot;#,##0.0&quot; &quot;;&quot;-&quot;#,##0.0&quot; &quot;;&quot; -&quot;00&quot; &quot;;&quot; &quot;@"/>
  </numFmts>
  <fonts count="19">
    <font>
      <sz val="11.0"/>
      <color rgb="FF434343"/>
      <name val="Calibri"/>
      <scheme val="minor"/>
    </font>
    <font>
      <u/>
      <sz val="11.0"/>
      <color rgb="FF434343"/>
      <name val="Calibri"/>
    </font>
    <font>
      <b/>
      <sz val="10.0"/>
      <color rgb="FFFFFFFF"/>
      <name val="Calibri"/>
    </font>
    <font>
      <b/>
      <sz val="16.0"/>
      <color rgb="FFFFFFFF"/>
      <name val="Calibri"/>
    </font>
    <font>
      <b/>
      <sz val="12.0"/>
      <color rgb="FFFFFFFF"/>
      <name val="Calibri"/>
    </font>
    <font>
      <sz val="11.0"/>
      <color rgb="FF434343"/>
      <name val="Calibri"/>
    </font>
    <font>
      <sz val="10.0"/>
      <color rgb="FF434343"/>
      <name val="Calibri"/>
    </font>
    <font>
      <b/>
      <sz val="11.0"/>
      <color rgb="FFFFFFFF"/>
      <name val="Calibri"/>
    </font>
    <font/>
    <font>
      <b/>
      <i/>
      <sz val="11.0"/>
      <color theme="1"/>
      <name val="Calibri"/>
    </font>
    <font>
      <sz val="10.0"/>
      <color theme="1"/>
      <name val="Calibri"/>
    </font>
    <font>
      <sz val="11.0"/>
      <color theme="1"/>
      <name val="Calibri"/>
    </font>
    <font>
      <sz val="9.0"/>
      <color theme="1"/>
      <name val="Calibri"/>
    </font>
    <font>
      <b/>
      <i/>
      <sz val="11.0"/>
      <color rgb="FF434343"/>
      <name val="Calibri"/>
    </font>
    <font>
      <sz val="10.0"/>
      <color rgb="FF000000"/>
      <name val="Calibri"/>
    </font>
    <font>
      <b/>
      <i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b/>
      <sz val="11.0"/>
      <color rgb="FF434343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548135"/>
        <bgColor rgb="FF548135"/>
      </patternFill>
    </fill>
    <fill>
      <patternFill patternType="solid">
        <fgColor rgb="FFA8D08D"/>
        <bgColor rgb="FFA8D08D"/>
      </patternFill>
    </fill>
    <fill>
      <patternFill patternType="solid">
        <fgColor rgb="FF385623"/>
        <bgColor rgb="FF385623"/>
      </patternFill>
    </fill>
    <fill>
      <patternFill patternType="solid">
        <fgColor rgb="FFD2F0C4"/>
        <bgColor rgb="FFD2F0C4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</fills>
  <borders count="37">
    <border/>
    <border>
      <left/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/>
    </xf>
    <xf borderId="2" fillId="2" fontId="3" numFmtId="0" xfId="0" applyBorder="1" applyFont="1"/>
    <xf borderId="2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0" fillId="0" fontId="5" numFmtId="0" xfId="0" applyFont="1"/>
    <xf borderId="0" fillId="0" fontId="6" numFmtId="0" xfId="0" applyFont="1"/>
    <xf borderId="0" fillId="0" fontId="6" numFmtId="0" xfId="0" applyAlignment="1" applyFont="1">
      <alignment horizontal="center" vertical="center"/>
    </xf>
    <xf borderId="1" fillId="3" fontId="3" numFmtId="0" xfId="0" applyAlignment="1" applyBorder="1" applyFill="1" applyFont="1">
      <alignment horizontal="center"/>
    </xf>
    <xf borderId="2" fillId="3" fontId="3" numFmtId="0" xfId="0" applyBorder="1" applyFont="1"/>
    <xf borderId="2" fillId="3" fontId="3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3" fillId="4" fontId="7" numFmtId="0" xfId="0" applyAlignment="1" applyBorder="1" applyFill="1" applyFont="1">
      <alignment horizontal="center" vertical="center"/>
    </xf>
    <xf borderId="4" fillId="4" fontId="7" numFmtId="0" xfId="0" applyAlignment="1" applyBorder="1" applyFont="1">
      <alignment horizontal="center" vertical="center"/>
    </xf>
    <xf borderId="5" fillId="4" fontId="7" numFmtId="0" xfId="0" applyAlignment="1" applyBorder="1" applyFont="1">
      <alignment horizontal="center" vertical="center"/>
    </xf>
    <xf borderId="6" fillId="4" fontId="7" numFmtId="0" xfId="0" applyAlignment="1" applyBorder="1" applyFont="1">
      <alignment horizontal="center" vertical="center"/>
    </xf>
    <xf borderId="7" fillId="0" fontId="8" numFmtId="0" xfId="0" applyBorder="1" applyFont="1"/>
    <xf borderId="8" fillId="0" fontId="8" numFmtId="0" xfId="0" applyBorder="1" applyFont="1"/>
    <xf borderId="9" fillId="4" fontId="7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9" fillId="4" fontId="7" numFmtId="0" xfId="0" applyAlignment="1" applyBorder="1" applyFont="1">
      <alignment horizontal="center"/>
    </xf>
    <xf borderId="2" fillId="4" fontId="7" numFmtId="0" xfId="0" applyAlignment="1" applyBorder="1" applyFont="1">
      <alignment horizontal="center"/>
    </xf>
    <xf borderId="12" fillId="4" fontId="7" numFmtId="0" xfId="0" applyAlignment="1" applyBorder="1" applyFon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4" fontId="7" numFmtId="0" xfId="0" applyAlignment="1" applyBorder="1" applyFont="1">
      <alignment horizontal="center"/>
    </xf>
    <xf borderId="13" fillId="5" fontId="9" numFmtId="0" xfId="0" applyBorder="1" applyFill="1" applyFont="1"/>
    <xf borderId="14" fillId="5" fontId="9" numFmtId="0" xfId="0" applyAlignment="1" applyBorder="1" applyFont="1">
      <alignment horizontal="center" vertical="center"/>
    </xf>
    <xf borderId="14" fillId="5" fontId="9" numFmtId="0" xfId="0" applyAlignment="1" applyBorder="1" applyFont="1">
      <alignment horizontal="center"/>
    </xf>
    <xf borderId="14" fillId="5" fontId="9" numFmtId="0" xfId="0" applyBorder="1" applyFont="1"/>
    <xf borderId="15" fillId="0" fontId="10" numFmtId="0" xfId="0" applyBorder="1" applyFont="1"/>
    <xf borderId="16" fillId="0" fontId="10" numFmtId="0" xfId="0" applyAlignment="1" applyBorder="1" applyFont="1">
      <alignment horizontal="center" vertical="center"/>
    </xf>
    <xf borderId="16" fillId="0" fontId="10" numFmtId="0" xfId="0" applyAlignment="1" applyBorder="1" applyFont="1">
      <alignment horizontal="center"/>
    </xf>
    <xf borderId="16" fillId="0" fontId="10" numFmtId="0" xfId="0" applyAlignment="1" applyBorder="1" applyFont="1">
      <alignment shrinkToFit="0" wrapText="1"/>
    </xf>
    <xf borderId="17" fillId="0" fontId="10" numFmtId="3" xfId="0" applyAlignment="1" applyBorder="1" applyFont="1" applyNumberFormat="1">
      <alignment horizontal="center" vertical="center"/>
    </xf>
    <xf borderId="18" fillId="0" fontId="10" numFmtId="3" xfId="0" applyAlignment="1" applyBorder="1" applyFont="1" applyNumberFormat="1">
      <alignment horizontal="center" vertical="center"/>
    </xf>
    <xf borderId="19" fillId="6" fontId="10" numFmtId="3" xfId="0" applyAlignment="1" applyBorder="1" applyFill="1" applyFont="1" applyNumberFormat="1">
      <alignment horizontal="center" vertical="center"/>
    </xf>
    <xf borderId="20" fillId="0" fontId="10" numFmtId="0" xfId="0" applyBorder="1" applyFont="1"/>
    <xf borderId="16" fillId="0" fontId="10" numFmtId="3" xfId="0" applyAlignment="1" applyBorder="1" applyFont="1" applyNumberFormat="1">
      <alignment horizontal="center" vertical="center"/>
    </xf>
    <xf borderId="15" fillId="0" fontId="10" numFmtId="49" xfId="0" applyAlignment="1" applyBorder="1" applyFont="1" applyNumberFormat="1">
      <alignment horizontal="center" vertical="center"/>
    </xf>
    <xf borderId="21" fillId="6" fontId="10" numFmtId="49" xfId="0" applyAlignment="1" applyBorder="1" applyFont="1" applyNumberFormat="1">
      <alignment horizontal="center" vertical="center"/>
    </xf>
    <xf borderId="16" fillId="6" fontId="10" numFmtId="3" xfId="0" applyAlignment="1" applyBorder="1" applyFont="1" applyNumberFormat="1">
      <alignment horizontal="center" vertical="center"/>
    </xf>
    <xf borderId="18" fillId="0" fontId="10" numFmtId="0" xfId="0" applyAlignment="1" applyBorder="1" applyFont="1">
      <alignment horizontal="center" vertical="center"/>
    </xf>
    <xf borderId="16" fillId="6" fontId="10" numFmtId="0" xfId="0" applyAlignment="1" applyBorder="1" applyFont="1">
      <alignment horizontal="center" vertical="center"/>
    </xf>
    <xf borderId="16" fillId="0" fontId="10" numFmtId="49" xfId="0" applyAlignment="1" applyBorder="1" applyFont="1" applyNumberFormat="1">
      <alignment horizontal="center" vertical="center"/>
    </xf>
    <xf borderId="16" fillId="6" fontId="10" numFmtId="49" xfId="0" applyAlignment="1" applyBorder="1" applyFont="1" applyNumberFormat="1">
      <alignment horizontal="center" vertical="center"/>
    </xf>
    <xf borderId="15" fillId="0" fontId="10" numFmtId="0" xfId="0" applyAlignment="1" applyBorder="1" applyFont="1">
      <alignment horizontal="center" vertical="center"/>
    </xf>
    <xf borderId="21" fillId="6" fontId="10" numFmtId="0" xfId="0" applyAlignment="1" applyBorder="1" applyFont="1">
      <alignment horizontal="center" vertical="center"/>
    </xf>
    <xf borderId="1" fillId="6" fontId="11" numFmtId="0" xfId="0" applyAlignment="1" applyBorder="1" applyFont="1">
      <alignment horizontal="left"/>
    </xf>
    <xf borderId="15" fillId="0" fontId="10" numFmtId="0" xfId="0" applyAlignment="1" applyBorder="1" applyFont="1">
      <alignment horizontal="center"/>
    </xf>
    <xf borderId="15" fillId="0" fontId="10" numFmtId="0" xfId="0" applyAlignment="1" applyBorder="1" applyFont="1">
      <alignment shrinkToFit="0" wrapText="1"/>
    </xf>
    <xf borderId="15" fillId="0" fontId="10" numFmtId="3" xfId="0" applyAlignment="1" applyBorder="1" applyFont="1" applyNumberFormat="1">
      <alignment horizontal="center" vertical="center"/>
    </xf>
    <xf borderId="14" fillId="5" fontId="9" numFmtId="0" xfId="0" applyAlignment="1" applyBorder="1" applyFont="1">
      <alignment shrinkToFit="0" wrapText="1"/>
    </xf>
    <xf borderId="17" fillId="0" fontId="10" numFmtId="0" xfId="0" applyAlignment="1" applyBorder="1" applyFont="1">
      <alignment shrinkToFit="0" wrapText="1"/>
    </xf>
    <xf borderId="16" fillId="0" fontId="10" numFmtId="164" xfId="0" applyAlignment="1" applyBorder="1" applyFont="1" applyNumberFormat="1">
      <alignment horizontal="center" vertical="center"/>
    </xf>
    <xf borderId="17" fillId="0" fontId="10" numFmtId="0" xfId="0" applyBorder="1" applyFont="1"/>
    <xf borderId="22" fillId="0" fontId="10" numFmtId="3" xfId="0" applyAlignment="1" applyBorder="1" applyFont="1" applyNumberFormat="1">
      <alignment horizontal="center" vertical="center"/>
    </xf>
    <xf borderId="0" fillId="0" fontId="10" numFmtId="164" xfId="0" applyAlignment="1" applyFont="1" applyNumberFormat="1">
      <alignment horizontal="center"/>
    </xf>
    <xf borderId="16" fillId="0" fontId="11" numFmtId="0" xfId="0" applyAlignment="1" applyBorder="1" applyFont="1">
      <alignment shrinkToFit="0" wrapText="1"/>
    </xf>
    <xf borderId="16" fillId="0" fontId="10" numFmtId="4" xfId="0" applyAlignment="1" applyBorder="1" applyFont="1" applyNumberFormat="1">
      <alignment horizontal="center" vertical="center"/>
    </xf>
    <xf borderId="23" fillId="0" fontId="10" numFmtId="0" xfId="0" applyBorder="1" applyFont="1"/>
    <xf borderId="16" fillId="0" fontId="10" numFmtId="0" xfId="0" applyAlignment="1" applyBorder="1" applyFont="1">
      <alignment shrinkToFit="0" vertical="center" wrapText="1"/>
    </xf>
    <xf borderId="15" fillId="0" fontId="10" numFmtId="164" xfId="0" applyAlignment="1" applyBorder="1" applyFont="1" applyNumberFormat="1">
      <alignment horizontal="center" vertical="center"/>
    </xf>
    <xf borderId="15" fillId="0" fontId="10" numFmtId="0" xfId="0" applyAlignment="1" applyBorder="1" applyFont="1">
      <alignment horizontal="center" readingOrder="0"/>
    </xf>
    <xf borderId="18" fillId="0" fontId="10" numFmtId="4" xfId="0" applyAlignment="1" applyBorder="1" applyFont="1" applyNumberFormat="1">
      <alignment horizontal="center" vertical="center"/>
    </xf>
    <xf borderId="19" fillId="6" fontId="10" numFmtId="4" xfId="0" applyAlignment="1" applyBorder="1" applyFont="1" applyNumberFormat="1">
      <alignment horizontal="center" vertical="center"/>
    </xf>
    <xf borderId="0" fillId="0" fontId="12" numFmtId="3" xfId="0" applyAlignment="1" applyFont="1" applyNumberFormat="1">
      <alignment horizontal="center"/>
    </xf>
    <xf borderId="0" fillId="0" fontId="12" numFmtId="164" xfId="0" applyAlignment="1" applyFont="1" applyNumberFormat="1">
      <alignment horizontal="center" vertical="center"/>
    </xf>
    <xf borderId="16" fillId="0" fontId="10" numFmtId="164" xfId="0" applyAlignment="1" applyBorder="1" applyFont="1" applyNumberFormat="1">
      <alignment horizontal="right" vertical="center"/>
    </xf>
    <xf borderId="16" fillId="0" fontId="12" numFmtId="164" xfId="0" applyAlignment="1" applyBorder="1" applyFont="1" applyNumberFormat="1">
      <alignment vertical="center"/>
    </xf>
    <xf borderId="16" fillId="0" fontId="10" numFmtId="165" xfId="0" applyAlignment="1" applyBorder="1" applyFont="1" applyNumberFormat="1">
      <alignment horizontal="right" vertical="center"/>
    </xf>
    <xf borderId="0" fillId="0" fontId="10" numFmtId="165" xfId="0" applyAlignment="1" applyFont="1" applyNumberFormat="1">
      <alignment horizontal="right" vertical="center"/>
    </xf>
    <xf borderId="16" fillId="6" fontId="10" numFmtId="164" xfId="0" applyAlignment="1" applyBorder="1" applyFont="1" applyNumberFormat="1">
      <alignment horizontal="right" vertical="center"/>
    </xf>
    <xf borderId="0" fillId="0" fontId="10" numFmtId="164" xfId="0" applyAlignment="1" applyFont="1" applyNumberFormat="1">
      <alignment horizontal="center" vertical="center"/>
    </xf>
    <xf borderId="21" fillId="6" fontId="10" numFmtId="0" xfId="0" applyAlignment="1" applyBorder="1" applyFont="1">
      <alignment horizontal="center"/>
    </xf>
    <xf borderId="16" fillId="6" fontId="10" numFmtId="0" xfId="0" applyAlignment="1" applyBorder="1" applyFont="1">
      <alignment shrinkToFit="0" wrapText="1"/>
    </xf>
    <xf borderId="16" fillId="6" fontId="10" numFmtId="164" xfId="0" applyAlignment="1" applyBorder="1" applyFont="1" applyNumberFormat="1">
      <alignment horizontal="center" vertical="center"/>
    </xf>
    <xf borderId="16" fillId="6" fontId="10" numFmtId="166" xfId="0" applyAlignment="1" applyBorder="1" applyFont="1" applyNumberFormat="1">
      <alignment horizontal="center" vertical="center"/>
    </xf>
    <xf borderId="24" fillId="0" fontId="10" numFmtId="0" xfId="0" applyAlignment="1" applyBorder="1" applyFont="1">
      <alignment horizontal="center" vertical="center"/>
    </xf>
    <xf borderId="25" fillId="0" fontId="10" numFmtId="0" xfId="0" applyAlignment="1" applyBorder="1" applyFont="1">
      <alignment horizontal="center"/>
    </xf>
    <xf borderId="24" fillId="0" fontId="10" numFmtId="0" xfId="0" applyAlignment="1" applyBorder="1" applyFont="1">
      <alignment shrinkToFit="0" wrapText="1"/>
    </xf>
    <xf borderId="16" fillId="0" fontId="11" numFmtId="3" xfId="0" applyAlignment="1" applyBorder="1" applyFont="1" applyNumberFormat="1">
      <alignment horizontal="center"/>
    </xf>
    <xf borderId="0" fillId="0" fontId="12" numFmtId="3" xfId="0" applyAlignment="1" applyFont="1" applyNumberFormat="1">
      <alignment horizontal="center" vertical="center"/>
    </xf>
    <xf borderId="16" fillId="0" fontId="10" numFmtId="166" xfId="0" applyAlignment="1" applyBorder="1" applyFont="1" applyNumberFormat="1">
      <alignment horizontal="center" vertical="center"/>
    </xf>
    <xf borderId="16" fillId="0" fontId="10" numFmtId="164" xfId="0" applyAlignment="1" applyBorder="1" applyFont="1" applyNumberFormat="1">
      <alignment horizontal="center"/>
    </xf>
    <xf borderId="16" fillId="0" fontId="10" numFmtId="167" xfId="0" applyAlignment="1" applyBorder="1" applyFont="1" applyNumberFormat="1">
      <alignment horizontal="center" vertical="center"/>
    </xf>
    <xf borderId="0" fillId="0" fontId="10" numFmtId="167" xfId="0" applyAlignment="1" applyFont="1" applyNumberFormat="1">
      <alignment horizontal="center" vertical="center"/>
    </xf>
    <xf borderId="26" fillId="5" fontId="9" numFmtId="0" xfId="0" applyBorder="1" applyFont="1"/>
    <xf borderId="22" fillId="0" fontId="10" numFmtId="0" xfId="0" applyAlignment="1" applyBorder="1" applyFont="1">
      <alignment horizontal="center" vertical="center"/>
    </xf>
    <xf borderId="16" fillId="0" fontId="10" numFmtId="168" xfId="0" applyAlignment="1" applyBorder="1" applyFont="1" applyNumberFormat="1">
      <alignment horizontal="center" vertical="center"/>
    </xf>
    <xf borderId="16" fillId="0" fontId="10" numFmtId="169" xfId="0" applyAlignment="1" applyBorder="1" applyFont="1" applyNumberFormat="1">
      <alignment horizontal="center" vertical="center"/>
    </xf>
    <xf borderId="0" fillId="0" fontId="10" numFmtId="169" xfId="0" applyAlignment="1" applyFont="1" applyNumberFormat="1">
      <alignment horizontal="center" vertical="center"/>
    </xf>
    <xf borderId="27" fillId="5" fontId="9" numFmtId="0" xfId="0" applyBorder="1" applyFont="1"/>
    <xf borderId="16" fillId="0" fontId="10" numFmtId="10" xfId="0" applyAlignment="1" applyBorder="1" applyFont="1" applyNumberFormat="1">
      <alignment horizontal="center" vertical="center"/>
    </xf>
    <xf borderId="16" fillId="0" fontId="10" numFmtId="3" xfId="0" applyAlignment="1" applyBorder="1" applyFont="1" applyNumberFormat="1">
      <alignment horizontal="center" readingOrder="0" vertical="center"/>
    </xf>
    <xf borderId="28" fillId="0" fontId="10" numFmtId="3" xfId="0" applyAlignment="1" applyBorder="1" applyFont="1" applyNumberFormat="1">
      <alignment horizontal="center" readingOrder="0" vertical="center"/>
    </xf>
    <xf borderId="28" fillId="0" fontId="10" numFmtId="3" xfId="0" applyAlignment="1" applyBorder="1" applyFont="1" applyNumberFormat="1">
      <alignment horizontal="center" vertical="center"/>
    </xf>
    <xf borderId="28" fillId="0" fontId="10" numFmtId="4" xfId="0" applyAlignment="1" applyBorder="1" applyFont="1" applyNumberFormat="1">
      <alignment horizontal="center" vertical="center"/>
    </xf>
    <xf borderId="0" fillId="0" fontId="5" numFmtId="3" xfId="0" applyFont="1" applyNumberFormat="1"/>
    <xf borderId="29" fillId="0" fontId="10" numFmtId="0" xfId="0" applyBorder="1" applyFont="1"/>
    <xf borderId="28" fillId="0" fontId="10" numFmtId="0" xfId="0" applyAlignment="1" applyBorder="1" applyFont="1">
      <alignment horizontal="center" vertical="center"/>
    </xf>
    <xf borderId="18" fillId="0" fontId="10" numFmtId="0" xfId="0" applyAlignment="1" applyBorder="1" applyFont="1">
      <alignment shrinkToFit="0" wrapText="1"/>
    </xf>
    <xf borderId="29" fillId="0" fontId="10" numFmtId="4" xfId="0" applyAlignment="1" applyBorder="1" applyFont="1" applyNumberFormat="1">
      <alignment horizontal="center" vertical="center"/>
    </xf>
    <xf borderId="29" fillId="0" fontId="10" numFmtId="4" xfId="0" applyAlignment="1" applyBorder="1" applyFont="1" applyNumberFormat="1">
      <alignment horizontal="center" readingOrder="0" vertical="center"/>
    </xf>
    <xf borderId="28" fillId="2" fontId="3" numFmtId="0" xfId="0" applyAlignment="1" applyBorder="1" applyFont="1">
      <alignment horizontal="center"/>
    </xf>
    <xf borderId="22" fillId="0" fontId="8" numFmtId="0" xfId="0" applyBorder="1" applyFont="1"/>
    <xf borderId="30" fillId="3" fontId="3" numFmtId="0" xfId="0" applyAlignment="1" applyBorder="1" applyFont="1">
      <alignment horizontal="center"/>
    </xf>
    <xf borderId="31" fillId="0" fontId="8" numFmtId="0" xfId="0" applyBorder="1" applyFont="1"/>
    <xf borderId="32" fillId="0" fontId="8" numFmtId="0" xfId="0" applyBorder="1" applyFont="1"/>
    <xf borderId="1" fillId="3" fontId="3" numFmtId="0" xfId="0" applyAlignment="1" applyBorder="1" applyFont="1">
      <alignment horizontal="right"/>
    </xf>
    <xf borderId="30" fillId="2" fontId="3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right" vertical="center"/>
    </xf>
    <xf borderId="16" fillId="0" fontId="5" numFmtId="0" xfId="0" applyBorder="1" applyFont="1"/>
    <xf borderId="15" fillId="4" fontId="7" numFmtId="0" xfId="0" applyAlignment="1" applyBorder="1" applyFont="1">
      <alignment horizontal="center" vertical="center"/>
    </xf>
    <xf borderId="33" fillId="4" fontId="7" numFmtId="0" xfId="0" applyAlignment="1" applyBorder="1" applyFont="1">
      <alignment horizontal="right" vertical="center"/>
    </xf>
    <xf borderId="34" fillId="0" fontId="8" numFmtId="0" xfId="0" applyBorder="1" applyFont="1"/>
    <xf borderId="35" fillId="0" fontId="8" numFmtId="0" xfId="0" applyBorder="1" applyFont="1"/>
    <xf borderId="1" fillId="4" fontId="7" numFmtId="0" xfId="0" applyAlignment="1" applyBorder="1" applyFont="1">
      <alignment horizontal="right" vertical="center"/>
    </xf>
    <xf borderId="17" fillId="0" fontId="8" numFmtId="0" xfId="0" applyBorder="1" applyFont="1"/>
    <xf borderId="16" fillId="4" fontId="7" numFmtId="0" xfId="0" applyAlignment="1" applyBorder="1" applyFont="1">
      <alignment horizontal="right"/>
    </xf>
    <xf borderId="1" fillId="4" fontId="7" numFmtId="0" xfId="0" applyAlignment="1" applyBorder="1" applyFont="1">
      <alignment horizontal="right"/>
    </xf>
    <xf borderId="28" fillId="7" fontId="13" numFmtId="0" xfId="0" applyAlignment="1" applyBorder="1" applyFill="1" applyFont="1">
      <alignment horizontal="center"/>
    </xf>
    <xf borderId="24" fillId="0" fontId="8" numFmtId="0" xfId="0" applyBorder="1" applyFont="1"/>
    <xf borderId="16" fillId="7" fontId="13" numFmtId="0" xfId="0" applyAlignment="1" applyBorder="1" applyFont="1">
      <alignment horizontal="right"/>
    </xf>
    <xf borderId="16" fillId="0" fontId="14" numFmtId="0" xfId="0" applyBorder="1" applyFont="1"/>
    <xf borderId="16" fillId="0" fontId="5" numFmtId="168" xfId="0" applyBorder="1" applyFont="1" applyNumberFormat="1"/>
    <xf borderId="16" fillId="0" fontId="14" numFmtId="168" xfId="0" applyAlignment="1" applyBorder="1" applyFont="1" applyNumberFormat="1">
      <alignment horizontal="right" vertical="center"/>
    </xf>
    <xf borderId="16" fillId="0" fontId="6" numFmtId="168" xfId="0" applyAlignment="1" applyBorder="1" applyFont="1" applyNumberFormat="1">
      <alignment horizontal="right" vertical="center"/>
    </xf>
    <xf borderId="16" fillId="0" fontId="5" numFmtId="169" xfId="0" applyBorder="1" applyFont="1" applyNumberFormat="1"/>
    <xf borderId="16" fillId="0" fontId="14" numFmtId="169" xfId="0" applyAlignment="1" applyBorder="1" applyFont="1" applyNumberFormat="1">
      <alignment horizontal="right" vertical="center"/>
    </xf>
    <xf borderId="16" fillId="0" fontId="14" numFmtId="166" xfId="0" applyAlignment="1" applyBorder="1" applyFont="1" applyNumberFormat="1">
      <alignment horizontal="right" vertical="center"/>
    </xf>
    <xf borderId="16" fillId="0" fontId="6" numFmtId="169" xfId="0" applyAlignment="1" applyBorder="1" applyFont="1" applyNumberFormat="1">
      <alignment horizontal="right" vertical="center"/>
    </xf>
    <xf borderId="28" fillId="7" fontId="15" numFmtId="0" xfId="0" applyAlignment="1" applyBorder="1" applyFont="1">
      <alignment horizontal="center"/>
    </xf>
    <xf borderId="16" fillId="0" fontId="14" numFmtId="3" xfId="0" applyAlignment="1" applyBorder="1" applyFont="1" applyNumberFormat="1">
      <alignment horizontal="center" vertical="center"/>
    </xf>
    <xf borderId="16" fillId="0" fontId="14" numFmtId="3" xfId="0" applyAlignment="1" applyBorder="1" applyFont="1" applyNumberFormat="1">
      <alignment horizontal="right" vertical="center"/>
    </xf>
    <xf borderId="16" fillId="0" fontId="16" numFmtId="0" xfId="0" applyBorder="1" applyFont="1"/>
    <xf borderId="0" fillId="0" fontId="16" numFmtId="0" xfId="0" applyAlignment="1" applyFont="1">
      <alignment horizontal="center"/>
    </xf>
    <xf borderId="16" fillId="0" fontId="6" numFmtId="3" xfId="0" applyAlignment="1" applyBorder="1" applyFont="1" applyNumberFormat="1">
      <alignment horizontal="right" vertical="center"/>
    </xf>
    <xf borderId="16" fillId="0" fontId="17" numFmtId="169" xfId="0" applyAlignment="1" applyBorder="1" applyFont="1" applyNumberFormat="1">
      <alignment horizontal="center"/>
    </xf>
    <xf borderId="16" fillId="0" fontId="14" numFmtId="169" xfId="0" applyAlignment="1" applyBorder="1" applyFont="1" applyNumberFormat="1">
      <alignment horizontal="center"/>
    </xf>
    <xf borderId="16" fillId="0" fontId="14" numFmtId="169" xfId="0" applyAlignment="1" applyBorder="1" applyFont="1" applyNumberFormat="1">
      <alignment horizontal="center" vertical="center"/>
    </xf>
    <xf borderId="15" fillId="0" fontId="14" numFmtId="0" xfId="0" applyBorder="1" applyFont="1"/>
    <xf borderId="16" fillId="0" fontId="16" numFmtId="168" xfId="0" applyAlignment="1" applyBorder="1" applyFont="1" applyNumberFormat="1">
      <alignment horizontal="right"/>
    </xf>
    <xf borderId="16" fillId="6" fontId="14" numFmtId="168" xfId="0" applyAlignment="1" applyBorder="1" applyFont="1" applyNumberFormat="1">
      <alignment horizontal="right" vertical="center"/>
    </xf>
    <xf borderId="0" fillId="0" fontId="16" numFmtId="168" xfId="0" applyAlignment="1" applyFont="1" applyNumberFormat="1">
      <alignment horizontal="right"/>
    </xf>
    <xf borderId="20" fillId="0" fontId="14" numFmtId="0" xfId="0" applyBorder="1" applyFont="1"/>
    <xf borderId="15" fillId="0" fontId="14" numFmtId="3" xfId="0" applyAlignment="1" applyBorder="1" applyFont="1" applyNumberFormat="1">
      <alignment horizontal="right" vertical="center"/>
    </xf>
    <xf borderId="0" fillId="0" fontId="5" numFmtId="169" xfId="0" applyFont="1" applyNumberFormat="1"/>
    <xf borderId="0" fillId="0" fontId="5" numFmtId="168" xfId="0" applyFont="1" applyNumberFormat="1"/>
    <xf borderId="16" fillId="0" fontId="5" numFmtId="168" xfId="0" applyAlignment="1" applyBorder="1" applyFont="1" applyNumberFormat="1">
      <alignment horizontal="center"/>
    </xf>
    <xf borderId="16" fillId="0" fontId="10" numFmtId="169" xfId="0" applyAlignment="1" applyBorder="1" applyFont="1" applyNumberFormat="1">
      <alignment horizontal="right" vertical="center"/>
    </xf>
    <xf borderId="16" fillId="8" fontId="10" numFmtId="169" xfId="0" applyAlignment="1" applyBorder="1" applyFill="1" applyFont="1" applyNumberFormat="1">
      <alignment horizontal="right" vertical="center"/>
    </xf>
    <xf borderId="16" fillId="0" fontId="10" numFmtId="3" xfId="0" applyAlignment="1" applyBorder="1" applyFont="1" applyNumberFormat="1">
      <alignment horizontal="right" vertical="center"/>
    </xf>
    <xf borderId="16" fillId="8" fontId="10" numFmtId="3" xfId="0" applyAlignment="1" applyBorder="1" applyFont="1" applyNumberFormat="1">
      <alignment horizontal="right" vertical="center"/>
    </xf>
    <xf borderId="36" fillId="0" fontId="5" numFmtId="0" xfId="0" applyBorder="1" applyFont="1"/>
    <xf borderId="14" fillId="7" fontId="5" numFmtId="0" xfId="0" applyAlignment="1" applyBorder="1" applyFont="1">
      <alignment horizontal="right"/>
    </xf>
    <xf borderId="22" fillId="0" fontId="14" numFmtId="0" xfId="0" applyAlignment="1" applyBorder="1" applyFont="1">
      <alignment shrinkToFit="0" wrapText="1"/>
    </xf>
    <xf borderId="16" fillId="0" fontId="14" numFmtId="170" xfId="0" applyAlignment="1" applyBorder="1" applyFont="1" applyNumberFormat="1">
      <alignment horizontal="center" vertical="center"/>
    </xf>
    <xf borderId="16" fillId="0" fontId="14" numFmtId="170" xfId="0" applyAlignment="1" applyBorder="1" applyFont="1" applyNumberFormat="1">
      <alignment horizontal="right" vertical="center"/>
    </xf>
    <xf borderId="0" fillId="0" fontId="14" numFmtId="170" xfId="0" applyAlignment="1" applyFont="1" applyNumberFormat="1">
      <alignment horizontal="right" vertical="center"/>
    </xf>
    <xf borderId="16" fillId="0" fontId="6" numFmtId="170" xfId="0" applyAlignment="1" applyBorder="1" applyFont="1" applyNumberFormat="1">
      <alignment horizontal="right" vertical="center"/>
    </xf>
    <xf borderId="17" fillId="0" fontId="14" numFmtId="0" xfId="0" applyBorder="1" applyFont="1"/>
    <xf borderId="28" fillId="0" fontId="14" numFmtId="0" xfId="0" applyBorder="1" applyFont="1"/>
    <xf borderId="16" fillId="6" fontId="14" numFmtId="169" xfId="0" applyAlignment="1" applyBorder="1" applyFont="1" applyNumberFormat="1">
      <alignment horizontal="right" vertical="center"/>
    </xf>
    <xf borderId="0" fillId="0" fontId="14" numFmtId="0" xfId="0" applyFont="1"/>
    <xf borderId="0" fillId="0" fontId="16" numFmtId="0" xfId="0" applyFont="1"/>
    <xf borderId="0" fillId="0" fontId="16" numFmtId="0" xfId="0" applyAlignment="1" applyFont="1">
      <alignment horizontal="right"/>
    </xf>
    <xf borderId="0" fillId="0" fontId="5" numFmtId="0" xfId="0" applyAlignment="1" applyFont="1">
      <alignment horizontal="right"/>
    </xf>
    <xf borderId="0" fillId="0" fontId="6" numFmtId="0" xfId="0" applyAlignment="1" applyFont="1">
      <alignment horizontal="right"/>
    </xf>
    <xf borderId="0" fillId="0" fontId="18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5" numFmtId="0" xfId="0" applyAlignment="1" applyFont="1">
      <alignment horizontal="center" readingOrder="0"/>
    </xf>
  </cellXfs>
  <cellStyles count="1">
    <cellStyle xfId="0" name="Normal" builtinId="0"/>
  </cellStyles>
  <dxfs count="1">
    <dxf>
      <font>
        <b/>
        <color rgb="FF7030A0"/>
      </font>
      <fill>
        <patternFill patternType="solid">
          <fgColor rgb="FFCCCCFF"/>
          <bgColor rgb="FFCCCC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6.57"/>
    <col customWidth="1" min="2" max="2" width="9.14"/>
    <col customWidth="1" min="3" max="3" width="14.86"/>
    <col customWidth="1" min="4" max="4" width="16.86"/>
    <col customWidth="1" min="5" max="5" width="49.0"/>
    <col customWidth="1" min="6" max="6" width="20.71"/>
    <col customWidth="1" min="7" max="10" width="15.14"/>
    <col customWidth="1" min="11" max="12" width="15.0"/>
    <col customWidth="1" min="13" max="13" width="15.86"/>
    <col customWidth="1" min="14" max="14" width="13.86"/>
    <col customWidth="1" min="15" max="16" width="8.71"/>
    <col customWidth="1" min="17" max="21" width="14.43"/>
  </cols>
  <sheetData>
    <row r="1" ht="24.75" customHeight="1">
      <c r="A1" s="1"/>
      <c r="B1" s="2"/>
      <c r="C1" s="3"/>
      <c r="D1" s="4"/>
      <c r="E1" s="5" t="s">
        <v>0</v>
      </c>
      <c r="F1" s="6" t="s">
        <v>1</v>
      </c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25.5" customHeight="1">
      <c r="A2" s="8"/>
      <c r="B2" s="9"/>
      <c r="C2" s="10"/>
      <c r="D2" s="11"/>
      <c r="E2" s="12" t="s">
        <v>2</v>
      </c>
      <c r="F2" s="13">
        <v>2023.0</v>
      </c>
      <c r="G2" s="1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6.75" customHeight="1">
      <c r="A3" s="8"/>
      <c r="B3" s="9"/>
      <c r="C3" s="10"/>
      <c r="D3" s="1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8"/>
      <c r="B4" s="16" t="s">
        <v>3</v>
      </c>
      <c r="C4" s="17" t="s">
        <v>4</v>
      </c>
      <c r="D4" s="18"/>
      <c r="E4" s="17" t="s">
        <v>5</v>
      </c>
      <c r="F4" s="18"/>
      <c r="G4" s="19" t="s">
        <v>6</v>
      </c>
      <c r="H4" s="20"/>
      <c r="I4" s="20"/>
      <c r="J4" s="20"/>
      <c r="K4" s="20"/>
      <c r="L4" s="20"/>
      <c r="M4" s="21"/>
      <c r="N4" s="22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8"/>
      <c r="B5" s="23"/>
      <c r="C5" s="24"/>
      <c r="D5" s="18"/>
      <c r="E5" s="24"/>
      <c r="F5" s="25">
        <v>2015.0</v>
      </c>
      <c r="G5" s="26">
        <v>2016.0</v>
      </c>
      <c r="H5" s="26">
        <v>2017.0</v>
      </c>
      <c r="I5" s="26">
        <v>2018.0</v>
      </c>
      <c r="J5" s="26">
        <v>2019.0</v>
      </c>
      <c r="K5" s="26">
        <v>2020.0</v>
      </c>
      <c r="L5" s="26">
        <v>2021.0</v>
      </c>
      <c r="M5" s="26">
        <v>2022.0</v>
      </c>
      <c r="N5" s="26">
        <v>2023.0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8"/>
      <c r="B6" s="27"/>
      <c r="C6" s="28"/>
      <c r="D6" s="28"/>
      <c r="E6" s="28"/>
      <c r="F6" s="29"/>
      <c r="G6" s="29"/>
      <c r="H6" s="29"/>
      <c r="I6" s="29"/>
      <c r="J6" s="29"/>
      <c r="K6" s="29"/>
      <c r="L6" s="29"/>
      <c r="M6" s="29"/>
      <c r="N6" s="29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8"/>
      <c r="B7" s="30" t="s">
        <v>7</v>
      </c>
      <c r="C7" s="31"/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8"/>
      <c r="B8" s="34" t="s">
        <v>8</v>
      </c>
      <c r="C8" s="35" t="s">
        <v>9</v>
      </c>
      <c r="D8" s="36" t="s">
        <v>10</v>
      </c>
      <c r="E8" s="37" t="s">
        <v>11</v>
      </c>
      <c r="F8" s="38">
        <v>15.0</v>
      </c>
      <c r="G8" s="38">
        <v>15.0</v>
      </c>
      <c r="H8" s="38">
        <v>15.0</v>
      </c>
      <c r="I8" s="38">
        <v>15.0</v>
      </c>
      <c r="J8" s="38">
        <v>16.0</v>
      </c>
      <c r="K8" s="38">
        <v>16.0</v>
      </c>
      <c r="L8" s="39">
        <v>16.0</v>
      </c>
      <c r="M8" s="40">
        <v>15.0</v>
      </c>
      <c r="N8" s="40">
        <v>16.0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8"/>
      <c r="B9" s="41" t="s">
        <v>12</v>
      </c>
      <c r="C9" s="35" t="s">
        <v>9</v>
      </c>
      <c r="D9" s="36" t="s">
        <v>10</v>
      </c>
      <c r="E9" s="37" t="s">
        <v>13</v>
      </c>
      <c r="F9" s="42">
        <v>506.0</v>
      </c>
      <c r="G9" s="42">
        <v>481.0</v>
      </c>
      <c r="H9" s="42">
        <v>509.0</v>
      </c>
      <c r="I9" s="42">
        <v>471.0</v>
      </c>
      <c r="J9" s="42">
        <v>543.0</v>
      </c>
      <c r="K9" s="42">
        <v>551.0</v>
      </c>
      <c r="L9" s="39">
        <v>547.0</v>
      </c>
      <c r="M9" s="40">
        <v>480.0</v>
      </c>
      <c r="N9" s="40">
        <v>476.0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8"/>
      <c r="B10" s="41" t="s">
        <v>14</v>
      </c>
      <c r="C10" s="35" t="s">
        <v>9</v>
      </c>
      <c r="D10" s="36" t="s">
        <v>10</v>
      </c>
      <c r="E10" s="37" t="s">
        <v>15</v>
      </c>
      <c r="F10" s="42">
        <v>8.0</v>
      </c>
      <c r="G10" s="42">
        <v>8.0</v>
      </c>
      <c r="H10" s="42">
        <v>11.0</v>
      </c>
      <c r="I10" s="42">
        <v>11.0</v>
      </c>
      <c r="J10" s="42">
        <v>4.0</v>
      </c>
      <c r="K10" s="42">
        <v>5.0</v>
      </c>
      <c r="L10" s="39">
        <v>4.0</v>
      </c>
      <c r="M10" s="40">
        <v>8.0</v>
      </c>
      <c r="N10" s="40">
        <f>SUM(11+148+80+2)</f>
        <v>241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/>
      <c r="B11" s="41" t="s">
        <v>16</v>
      </c>
      <c r="C11" s="35" t="s">
        <v>9</v>
      </c>
      <c r="D11" s="36" t="s">
        <v>10</v>
      </c>
      <c r="E11" s="37" t="s">
        <v>17</v>
      </c>
      <c r="F11" s="42">
        <v>35.0</v>
      </c>
      <c r="G11" s="42">
        <v>32.0</v>
      </c>
      <c r="H11" s="42">
        <v>25.0</v>
      </c>
      <c r="I11" s="42">
        <v>24.0</v>
      </c>
      <c r="J11" s="42">
        <v>28.0</v>
      </c>
      <c r="K11" s="42">
        <v>28.0</v>
      </c>
      <c r="L11" s="39">
        <v>32.0</v>
      </c>
      <c r="M11" s="40">
        <v>31.0</v>
      </c>
      <c r="N11" s="40">
        <v>32.0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8"/>
      <c r="B12" s="41" t="s">
        <v>18</v>
      </c>
      <c r="C12" s="35" t="s">
        <v>9</v>
      </c>
      <c r="D12" s="36" t="s">
        <v>10</v>
      </c>
      <c r="E12" s="37" t="s">
        <v>19</v>
      </c>
      <c r="F12" s="42">
        <v>541.0</v>
      </c>
      <c r="G12" s="42">
        <v>521.0</v>
      </c>
      <c r="H12" s="42">
        <v>545.0</v>
      </c>
      <c r="I12" s="42">
        <v>506.0</v>
      </c>
      <c r="J12" s="42">
        <v>575.0</v>
      </c>
      <c r="K12" s="42">
        <v>584.0</v>
      </c>
      <c r="L12" s="43">
        <v>583.0</v>
      </c>
      <c r="M12" s="44">
        <f>SUM(M9:M11)</f>
        <v>519</v>
      </c>
      <c r="N12" s="44" t="s">
        <v>20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/>
      <c r="B13" s="41" t="s">
        <v>21</v>
      </c>
      <c r="C13" s="35" t="s">
        <v>9</v>
      </c>
      <c r="D13" s="36" t="s">
        <v>10</v>
      </c>
      <c r="E13" s="37" t="s">
        <v>22</v>
      </c>
      <c r="F13" s="42">
        <v>228.0</v>
      </c>
      <c r="G13" s="42">
        <v>228.0</v>
      </c>
      <c r="H13" s="42">
        <v>232.0</v>
      </c>
      <c r="I13" s="42">
        <v>224.0</v>
      </c>
      <c r="J13" s="42">
        <v>232.0</v>
      </c>
      <c r="K13" s="42">
        <v>244.0</v>
      </c>
      <c r="L13" s="42">
        <v>240.0</v>
      </c>
      <c r="M13" s="45">
        <v>245.0</v>
      </c>
      <c r="N13" s="44">
        <v>298.0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8"/>
      <c r="B14" s="41" t="s">
        <v>23</v>
      </c>
      <c r="C14" s="35" t="s">
        <v>9</v>
      </c>
      <c r="D14" s="36" t="s">
        <v>10</v>
      </c>
      <c r="E14" s="37" t="s">
        <v>24</v>
      </c>
      <c r="F14" s="42">
        <v>58.0</v>
      </c>
      <c r="G14" s="42">
        <v>58.0</v>
      </c>
      <c r="H14" s="42">
        <v>87.0</v>
      </c>
      <c r="I14" s="42">
        <v>83.0</v>
      </c>
      <c r="J14" s="42">
        <v>97.0</v>
      </c>
      <c r="K14" s="42">
        <v>53.0</v>
      </c>
      <c r="L14" s="46">
        <v>46.0</v>
      </c>
      <c r="M14" s="40">
        <v>40.0</v>
      </c>
      <c r="N14" s="45">
        <v>72.0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8"/>
      <c r="B15" s="41" t="s">
        <v>25</v>
      </c>
      <c r="C15" s="35" t="s">
        <v>9</v>
      </c>
      <c r="D15" s="36" t="s">
        <v>10</v>
      </c>
      <c r="E15" s="37" t="s">
        <v>26</v>
      </c>
      <c r="F15" s="42">
        <v>0.0</v>
      </c>
      <c r="G15" s="42">
        <v>0.0</v>
      </c>
      <c r="H15" s="42">
        <v>0.0</v>
      </c>
      <c r="I15" s="42">
        <v>0.0</v>
      </c>
      <c r="J15" s="42">
        <v>0.0</v>
      </c>
      <c r="K15" s="42">
        <v>0.0</v>
      </c>
      <c r="L15" s="35">
        <v>0.0</v>
      </c>
      <c r="M15" s="47">
        <v>0.0</v>
      </c>
      <c r="N15" s="47">
        <v>0.0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/>
      <c r="B16" s="41" t="s">
        <v>27</v>
      </c>
      <c r="C16" s="35" t="s">
        <v>9</v>
      </c>
      <c r="D16" s="36" t="s">
        <v>10</v>
      </c>
      <c r="E16" s="37" t="s">
        <v>28</v>
      </c>
      <c r="F16" s="42"/>
      <c r="G16" s="42"/>
      <c r="H16" s="42"/>
      <c r="I16" s="42"/>
      <c r="J16" s="42"/>
      <c r="K16" s="42"/>
      <c r="L16" s="48"/>
      <c r="M16" s="49"/>
      <c r="N16" s="47">
        <v>0.0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/>
      <c r="B17" s="41" t="s">
        <v>29</v>
      </c>
      <c r="C17" s="35" t="s">
        <v>9</v>
      </c>
      <c r="D17" s="36" t="s">
        <v>10</v>
      </c>
      <c r="E17" s="37" t="s">
        <v>30</v>
      </c>
      <c r="F17" s="42">
        <v>0.0</v>
      </c>
      <c r="G17" s="42">
        <v>0.0</v>
      </c>
      <c r="H17" s="42">
        <v>0.0</v>
      </c>
      <c r="I17" s="42">
        <v>0.0</v>
      </c>
      <c r="J17" s="42">
        <v>0.0</v>
      </c>
      <c r="K17" s="42">
        <v>0.0</v>
      </c>
      <c r="L17" s="35">
        <v>0.0</v>
      </c>
      <c r="M17" s="47">
        <v>0.0</v>
      </c>
      <c r="N17" s="47">
        <v>0.0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/>
      <c r="B18" s="41" t="s">
        <v>31</v>
      </c>
      <c r="C18" s="35" t="s">
        <v>9</v>
      </c>
      <c r="D18" s="36" t="s">
        <v>10</v>
      </c>
      <c r="E18" s="37" t="s">
        <v>32</v>
      </c>
      <c r="F18" s="42">
        <v>0.0</v>
      </c>
      <c r="G18" s="42">
        <v>0.0</v>
      </c>
      <c r="H18" s="42">
        <v>0.0</v>
      </c>
      <c r="I18" s="42">
        <v>0.0</v>
      </c>
      <c r="J18" s="42">
        <v>0.0</v>
      </c>
      <c r="K18" s="42">
        <v>0.0</v>
      </c>
      <c r="L18" s="50">
        <v>0.0</v>
      </c>
      <c r="M18" s="51">
        <v>0.0</v>
      </c>
      <c r="N18" s="51">
        <v>0.0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41" t="s">
        <v>33</v>
      </c>
      <c r="C19" s="35" t="s">
        <v>9</v>
      </c>
      <c r="D19" s="36" t="s">
        <v>10</v>
      </c>
      <c r="E19" s="37" t="s">
        <v>34</v>
      </c>
      <c r="F19" s="42"/>
      <c r="G19" s="42"/>
      <c r="H19" s="42"/>
      <c r="I19" s="42"/>
      <c r="J19" s="42"/>
      <c r="K19" s="42"/>
      <c r="L19" s="43"/>
      <c r="M19" s="51">
        <v>0.0</v>
      </c>
      <c r="N19" s="51">
        <v>0.0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41" t="s">
        <v>35</v>
      </c>
      <c r="C20" s="35" t="s">
        <v>9</v>
      </c>
      <c r="D20" s="36" t="s">
        <v>10</v>
      </c>
      <c r="E20" s="37" t="s">
        <v>36</v>
      </c>
      <c r="F20" s="42">
        <v>286.0</v>
      </c>
      <c r="G20" s="42">
        <v>286.0</v>
      </c>
      <c r="H20" s="42">
        <v>319.0</v>
      </c>
      <c r="I20" s="42">
        <v>307.0</v>
      </c>
      <c r="J20" s="42">
        <v>329.0</v>
      </c>
      <c r="K20" s="42">
        <v>297.0</v>
      </c>
      <c r="L20" s="48">
        <f t="shared" ref="L20:N20" si="1">L13+L14+L16+L17+L18+L19</f>
        <v>286</v>
      </c>
      <c r="M20" s="44">
        <f t="shared" si="1"/>
        <v>285</v>
      </c>
      <c r="N20" s="44">
        <f t="shared" si="1"/>
        <v>370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8"/>
      <c r="B21" s="41" t="s">
        <v>37</v>
      </c>
      <c r="C21" s="35" t="s">
        <v>9</v>
      </c>
      <c r="D21" s="36" t="s">
        <v>10</v>
      </c>
      <c r="E21" s="37" t="s">
        <v>38</v>
      </c>
      <c r="F21" s="42">
        <v>556.0</v>
      </c>
      <c r="G21" s="42">
        <v>822.0</v>
      </c>
      <c r="H21" s="42">
        <v>879.0</v>
      </c>
      <c r="I21" s="42">
        <v>828.0</v>
      </c>
      <c r="J21" s="42">
        <v>920.0</v>
      </c>
      <c r="K21" s="42">
        <v>897.0</v>
      </c>
      <c r="L21" s="48">
        <v>885.0</v>
      </c>
      <c r="M21" s="44">
        <f t="shared" ref="M21:N21" si="2">M8+M12+M20</f>
        <v>819</v>
      </c>
      <c r="N21" s="44">
        <f t="shared" si="2"/>
        <v>905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/>
      <c r="B22" s="52" t="s">
        <v>39</v>
      </c>
      <c r="C22" s="35" t="s">
        <v>9</v>
      </c>
      <c r="D22" s="53" t="s">
        <v>10</v>
      </c>
      <c r="E22" s="54" t="s">
        <v>40</v>
      </c>
      <c r="F22" s="55" t="s">
        <v>41</v>
      </c>
      <c r="G22" s="55">
        <v>77984.0</v>
      </c>
      <c r="H22" s="55">
        <v>77984.0</v>
      </c>
      <c r="I22" s="55">
        <v>77984.0</v>
      </c>
      <c r="J22" s="55">
        <v>69562.0</v>
      </c>
      <c r="K22" s="55">
        <v>77984.0</v>
      </c>
      <c r="L22" s="50">
        <v>77984.0</v>
      </c>
      <c r="M22" s="50">
        <v>77984.0</v>
      </c>
      <c r="N22" s="50">
        <v>77983.6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/>
      <c r="B23" s="30" t="s">
        <v>42</v>
      </c>
      <c r="C23" s="31"/>
      <c r="D23" s="32"/>
      <c r="E23" s="56"/>
      <c r="F23" s="33"/>
      <c r="G23" s="33"/>
      <c r="H23" s="33"/>
      <c r="I23" s="33"/>
      <c r="J23" s="33"/>
      <c r="K23" s="33"/>
      <c r="L23" s="33"/>
      <c r="M23" s="33"/>
      <c r="N23" s="33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/>
      <c r="B24" s="41" t="s">
        <v>43</v>
      </c>
      <c r="C24" s="35" t="s">
        <v>44</v>
      </c>
      <c r="D24" s="53" t="s">
        <v>45</v>
      </c>
      <c r="E24" s="57" t="s">
        <v>46</v>
      </c>
      <c r="F24" s="38">
        <v>5630.0</v>
      </c>
      <c r="G24" s="38">
        <v>3876.0</v>
      </c>
      <c r="H24" s="38">
        <v>3180.0</v>
      </c>
      <c r="I24" s="38">
        <v>2946.0</v>
      </c>
      <c r="J24" s="38">
        <v>2577.0</v>
      </c>
      <c r="K24" s="38">
        <v>1100.0</v>
      </c>
      <c r="L24" s="38">
        <v>1274.0</v>
      </c>
      <c r="M24" s="38">
        <v>1272.0</v>
      </c>
      <c r="N24" s="38">
        <f>'Res__400_-_Mensal_2023'!P6</f>
        <v>1068</v>
      </c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/>
      <c r="B25" s="41" t="s">
        <v>47</v>
      </c>
      <c r="C25" s="35" t="s">
        <v>44</v>
      </c>
      <c r="D25" s="53" t="s">
        <v>45</v>
      </c>
      <c r="E25" s="37" t="s">
        <v>48</v>
      </c>
      <c r="F25" s="42">
        <v>0.0</v>
      </c>
      <c r="G25" s="42">
        <v>0.0</v>
      </c>
      <c r="H25" s="42">
        <v>0.0</v>
      </c>
      <c r="I25" s="42">
        <v>0.0</v>
      </c>
      <c r="J25" s="42">
        <v>0.0</v>
      </c>
      <c r="K25" s="42">
        <v>0.0</v>
      </c>
      <c r="L25" s="42">
        <v>0.0</v>
      </c>
      <c r="M25" s="42">
        <v>0.0</v>
      </c>
      <c r="N25" s="42">
        <f>'Res__400_-_Mensal_2023'!P8</f>
        <v>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/>
      <c r="B26" s="41" t="s">
        <v>49</v>
      </c>
      <c r="C26" s="35" t="s">
        <v>44</v>
      </c>
      <c r="D26" s="53" t="s">
        <v>45</v>
      </c>
      <c r="E26" s="37" t="s">
        <v>50</v>
      </c>
      <c r="F26" s="58">
        <v>48700.0</v>
      </c>
      <c r="G26" s="58">
        <v>33751.12</v>
      </c>
      <c r="H26" s="58">
        <v>46351.12</v>
      </c>
      <c r="I26" s="58">
        <v>40391.06</v>
      </c>
      <c r="J26" s="58">
        <v>35761.22</v>
      </c>
      <c r="K26" s="58">
        <v>14191.6</v>
      </c>
      <c r="L26" s="58">
        <v>16383.84</v>
      </c>
      <c r="M26" s="58">
        <v>21030.47</v>
      </c>
      <c r="N26" s="58">
        <f>'Res__400_-_Mensal_2023'!P7</f>
        <v>26214.51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/>
      <c r="B27" s="30" t="s">
        <v>51</v>
      </c>
      <c r="C27" s="31"/>
      <c r="D27" s="32"/>
      <c r="E27" s="56"/>
      <c r="F27" s="33"/>
      <c r="G27" s="33"/>
      <c r="H27" s="33"/>
      <c r="I27" s="33"/>
      <c r="J27" s="33"/>
      <c r="K27" s="33"/>
      <c r="L27" s="33"/>
      <c r="M27" s="33"/>
      <c r="N27" s="33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/>
      <c r="B28" s="34" t="s">
        <v>52</v>
      </c>
      <c r="C28" s="35" t="s">
        <v>9</v>
      </c>
      <c r="D28" s="53" t="s">
        <v>45</v>
      </c>
      <c r="E28" s="37" t="s">
        <v>53</v>
      </c>
      <c r="F28" s="42">
        <v>4964.0</v>
      </c>
      <c r="G28" s="42">
        <v>4520.0</v>
      </c>
      <c r="H28" s="42">
        <v>4061.0</v>
      </c>
      <c r="I28" s="42">
        <v>3993.0</v>
      </c>
      <c r="J28" s="42">
        <v>4074.0</v>
      </c>
      <c r="K28" s="42">
        <v>1453.0</v>
      </c>
      <c r="L28" s="42">
        <v>1862.0</v>
      </c>
      <c r="M28" s="42">
        <v>1215.0</v>
      </c>
      <c r="N28" s="42">
        <f>'Res__400_-_Mensal_2023'!P10</f>
        <v>298</v>
      </c>
      <c r="O28" s="9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/>
      <c r="B29" s="41" t="s">
        <v>54</v>
      </c>
      <c r="C29" s="35" t="s">
        <v>9</v>
      </c>
      <c r="D29" s="53" t="s">
        <v>45</v>
      </c>
      <c r="E29" s="37" t="s">
        <v>55</v>
      </c>
      <c r="F29" s="58">
        <v>9570.0</v>
      </c>
      <c r="G29" s="58">
        <v>8655.18</v>
      </c>
      <c r="H29" s="58">
        <v>16592.0</v>
      </c>
      <c r="I29" s="58">
        <v>8938.04</v>
      </c>
      <c r="J29" s="58">
        <v>9126.3</v>
      </c>
      <c r="K29" s="58">
        <v>3499.8</v>
      </c>
      <c r="L29" s="58">
        <v>5608.46</v>
      </c>
      <c r="M29" s="58">
        <v>2356.34</v>
      </c>
      <c r="N29" s="58">
        <f>'Res__400_-_Mensal_2023'!P11</f>
        <v>283.36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/>
      <c r="B30" s="30" t="s">
        <v>56</v>
      </c>
      <c r="C30" s="31"/>
      <c r="D30" s="32"/>
      <c r="E30" s="56"/>
      <c r="F30" s="33"/>
      <c r="G30" s="33"/>
      <c r="H30" s="33"/>
      <c r="I30" s="33"/>
      <c r="J30" s="33"/>
      <c r="K30" s="33"/>
      <c r="L30" s="33"/>
      <c r="M30" s="33"/>
      <c r="N30" s="33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/>
      <c r="B31" s="50" t="s">
        <v>57</v>
      </c>
      <c r="C31" s="35" t="s">
        <v>58</v>
      </c>
      <c r="D31" s="53" t="s">
        <v>45</v>
      </c>
      <c r="E31" s="37" t="s">
        <v>59</v>
      </c>
      <c r="F31" s="45"/>
      <c r="G31" s="45"/>
      <c r="H31" s="45"/>
      <c r="I31" s="45"/>
      <c r="J31" s="45"/>
      <c r="K31" s="45"/>
      <c r="L31" s="45"/>
      <c r="M31" s="45">
        <v>1576.36</v>
      </c>
      <c r="N31" s="45">
        <f>'Res__400_-_Mensal_2023'!P13</f>
        <v>459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/>
      <c r="B32" s="50" t="s">
        <v>60</v>
      </c>
      <c r="C32" s="35" t="s">
        <v>58</v>
      </c>
      <c r="D32" s="53" t="s">
        <v>45</v>
      </c>
      <c r="E32" s="37" t="s">
        <v>61</v>
      </c>
      <c r="F32" s="45"/>
      <c r="G32" s="45"/>
      <c r="H32" s="45"/>
      <c r="I32" s="45"/>
      <c r="J32" s="45"/>
      <c r="K32" s="45"/>
      <c r="L32" s="45"/>
      <c r="M32" s="45">
        <v>5594.0</v>
      </c>
      <c r="N32" s="45">
        <f>'Res__400_-_Mensal_2023'!P14</f>
        <v>5452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/>
      <c r="B33" s="34" t="s">
        <v>62</v>
      </c>
      <c r="C33" s="35" t="s">
        <v>44</v>
      </c>
      <c r="D33" s="53" t="s">
        <v>45</v>
      </c>
      <c r="E33" s="37" t="s">
        <v>63</v>
      </c>
      <c r="F33" s="42">
        <v>22450.0</v>
      </c>
      <c r="G33" s="42">
        <v>25176.0</v>
      </c>
      <c r="H33" s="42">
        <v>13118.0</v>
      </c>
      <c r="I33" s="42">
        <v>7920.0</v>
      </c>
      <c r="J33" s="42">
        <v>8650.0</v>
      </c>
      <c r="K33" s="42">
        <v>2136.0</v>
      </c>
      <c r="L33" s="42">
        <v>9720.0</v>
      </c>
      <c r="M33" s="42">
        <v>6941.0</v>
      </c>
      <c r="N33" s="42">
        <f>'Res__400_-_Mensal_2023'!P15</f>
        <v>5911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41" t="s">
        <v>64</v>
      </c>
      <c r="C34" s="35" t="s">
        <v>44</v>
      </c>
      <c r="D34" s="53" t="s">
        <v>45</v>
      </c>
      <c r="E34" s="37" t="s">
        <v>65</v>
      </c>
      <c r="F34" s="42">
        <v>252.0</v>
      </c>
      <c r="G34" s="42">
        <v>98.0</v>
      </c>
      <c r="H34" s="42">
        <v>125.0</v>
      </c>
      <c r="I34" s="42">
        <v>14.0</v>
      </c>
      <c r="J34" s="42">
        <v>37.0</v>
      </c>
      <c r="K34" s="42">
        <v>20.0</v>
      </c>
      <c r="L34" s="42">
        <v>0.0</v>
      </c>
      <c r="M34" s="42">
        <v>28.0</v>
      </c>
      <c r="N34" s="42">
        <f>'Res__400_-_Mensal_2023'!P16</f>
        <v>56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41" t="s">
        <v>66</v>
      </c>
      <c r="C35" s="35" t="s">
        <v>44</v>
      </c>
      <c r="D35" s="53" t="s">
        <v>45</v>
      </c>
      <c r="E35" s="37" t="s">
        <v>67</v>
      </c>
      <c r="F35" s="58">
        <v>17079.0</v>
      </c>
      <c r="G35" s="58">
        <v>15208.32</v>
      </c>
      <c r="H35" s="58">
        <v>7224.0</v>
      </c>
      <c r="I35" s="58">
        <v>5922.0</v>
      </c>
      <c r="J35" s="58">
        <v>5923.1</v>
      </c>
      <c r="K35" s="58">
        <v>891.6</v>
      </c>
      <c r="L35" s="58">
        <v>6362.93</v>
      </c>
      <c r="M35" s="58">
        <v>9990.01</v>
      </c>
      <c r="N35" s="58">
        <f>'Res__400_-_Mensal_2023'!P17</f>
        <v>9030.13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59" t="s">
        <v>68</v>
      </c>
      <c r="C36" s="35" t="s">
        <v>44</v>
      </c>
      <c r="D36" s="53" t="s">
        <v>45</v>
      </c>
      <c r="E36" s="37" t="s">
        <v>69</v>
      </c>
      <c r="F36" s="58">
        <v>870.0</v>
      </c>
      <c r="G36" s="58">
        <v>767.34</v>
      </c>
      <c r="H36" s="58">
        <v>750.0</v>
      </c>
      <c r="I36" s="58">
        <v>77.0</v>
      </c>
      <c r="J36" s="58">
        <v>147.27</v>
      </c>
      <c r="K36" s="58">
        <v>188.0</v>
      </c>
      <c r="L36" s="58">
        <v>0.0</v>
      </c>
      <c r="M36" s="58">
        <v>190.4</v>
      </c>
      <c r="N36" s="58">
        <f>'Res__400_-_Mensal_2023'!P18</f>
        <v>581.84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30" t="s">
        <v>70</v>
      </c>
      <c r="C37" s="31"/>
      <c r="D37" s="32"/>
      <c r="E37" s="56"/>
      <c r="F37" s="33"/>
      <c r="G37" s="33"/>
      <c r="H37" s="33"/>
      <c r="I37" s="33"/>
      <c r="J37" s="33"/>
      <c r="K37" s="33"/>
      <c r="L37" s="33"/>
      <c r="M37" s="33"/>
      <c r="N37" s="33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34" t="s">
        <v>71</v>
      </c>
      <c r="C38" s="35" t="s">
        <v>44</v>
      </c>
      <c r="D38" s="53" t="s">
        <v>45</v>
      </c>
      <c r="E38" s="37" t="s">
        <v>72</v>
      </c>
      <c r="F38" s="42">
        <v>901588.0</v>
      </c>
      <c r="G38" s="42">
        <v>2134938.0</v>
      </c>
      <c r="H38" s="42">
        <v>1875399.0</v>
      </c>
      <c r="I38" s="42">
        <v>1051689.0</v>
      </c>
      <c r="J38" s="42">
        <v>1172680.0</v>
      </c>
      <c r="K38" s="42">
        <v>569480.0</v>
      </c>
      <c r="L38" s="60">
        <v>839454.0</v>
      </c>
      <c r="M38" s="60">
        <v>1189467.0</v>
      </c>
      <c r="N38" s="60">
        <f>'Res__400_-_Mensal_2023'!P20</f>
        <v>1566503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41" t="s">
        <v>73</v>
      </c>
      <c r="C39" s="35" t="s">
        <v>44</v>
      </c>
      <c r="D39" s="53" t="s">
        <v>10</v>
      </c>
      <c r="E39" s="37" t="s">
        <v>74</v>
      </c>
      <c r="F39" s="42">
        <v>403.0</v>
      </c>
      <c r="G39" s="42">
        <v>404.0</v>
      </c>
      <c r="H39" s="42">
        <v>289.0</v>
      </c>
      <c r="I39" s="42">
        <v>256.0</v>
      </c>
      <c r="J39" s="42">
        <v>239.0</v>
      </c>
      <c r="K39" s="42">
        <v>203.0</v>
      </c>
      <c r="L39" s="60">
        <v>198.0</v>
      </c>
      <c r="M39" s="60">
        <f>174+6</f>
        <v>180</v>
      </c>
      <c r="N39" s="60">
        <f>SUM(163+7)</f>
        <v>170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59" t="s">
        <v>75</v>
      </c>
      <c r="C40" s="35" t="s">
        <v>9</v>
      </c>
      <c r="D40" s="53" t="s">
        <v>10</v>
      </c>
      <c r="E40" s="37" t="s">
        <v>76</v>
      </c>
      <c r="F40" s="58">
        <v>515973.89</v>
      </c>
      <c r="G40" s="58">
        <v>435784.79</v>
      </c>
      <c r="H40" s="58">
        <v>423671.0</v>
      </c>
      <c r="I40" s="58">
        <v>493175.88</v>
      </c>
      <c r="J40" s="58">
        <v>939520.94</v>
      </c>
      <c r="K40" s="58">
        <v>570065.05</v>
      </c>
      <c r="L40" s="58">
        <v>320874.62</v>
      </c>
      <c r="M40" s="61">
        <f>229117.42+543129.99</f>
        <v>772247.41</v>
      </c>
      <c r="N40" s="61">
        <f>SUM(265416.89+464901.01)</f>
        <v>730317.9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35.25" customHeight="1" outlineLevel="1">
      <c r="A41" s="8"/>
      <c r="B41" s="59" t="s">
        <v>77</v>
      </c>
      <c r="C41" s="35" t="s">
        <v>9</v>
      </c>
      <c r="D41" s="53" t="s">
        <v>10</v>
      </c>
      <c r="E41" s="62" t="s">
        <v>78</v>
      </c>
      <c r="F41" s="63">
        <f t="shared" ref="F41:N41" si="3">F38/F21</f>
        <v>1621.561151</v>
      </c>
      <c r="G41" s="63">
        <f t="shared" si="3"/>
        <v>2597.248175</v>
      </c>
      <c r="H41" s="63">
        <f t="shared" si="3"/>
        <v>2133.559727</v>
      </c>
      <c r="I41" s="63">
        <f t="shared" si="3"/>
        <v>1270.155797</v>
      </c>
      <c r="J41" s="63">
        <f t="shared" si="3"/>
        <v>1274.652174</v>
      </c>
      <c r="K41" s="63">
        <f t="shared" si="3"/>
        <v>634.8717949</v>
      </c>
      <c r="L41" s="63">
        <f t="shared" si="3"/>
        <v>948.5355932</v>
      </c>
      <c r="M41" s="63">
        <f t="shared" si="3"/>
        <v>1452.340659</v>
      </c>
      <c r="N41" s="63">
        <f t="shared" si="3"/>
        <v>1730.942541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30" t="s">
        <v>79</v>
      </c>
      <c r="C42" s="31"/>
      <c r="D42" s="32"/>
      <c r="E42" s="56"/>
      <c r="F42" s="33"/>
      <c r="G42" s="33"/>
      <c r="H42" s="33"/>
      <c r="I42" s="33"/>
      <c r="J42" s="33"/>
      <c r="K42" s="33"/>
      <c r="L42" s="33"/>
      <c r="M42" s="33"/>
      <c r="N42" s="33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23.25" customHeight="1">
      <c r="A43" s="8"/>
      <c r="B43" s="34" t="s">
        <v>80</v>
      </c>
      <c r="C43" s="35" t="s">
        <v>44</v>
      </c>
      <c r="D43" s="53" t="s">
        <v>45</v>
      </c>
      <c r="E43" s="37" t="s">
        <v>81</v>
      </c>
      <c r="F43" s="58">
        <v>131439.0</v>
      </c>
      <c r="G43" s="58">
        <v>84231.35</v>
      </c>
      <c r="H43" s="58">
        <v>88444.73</v>
      </c>
      <c r="I43" s="58">
        <v>79424.55</v>
      </c>
      <c r="J43" s="58">
        <v>77854.01</v>
      </c>
      <c r="K43" s="58">
        <v>86878.96</v>
      </c>
      <c r="L43" s="58">
        <v>173350.23999999996</v>
      </c>
      <c r="M43" s="58">
        <v>74658.5</v>
      </c>
      <c r="N43" s="58">
        <f>'Res__400_-_Mensal_2023'!P35</f>
        <v>56239.995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41" t="s">
        <v>82</v>
      </c>
      <c r="C44" s="35" t="s">
        <v>44</v>
      </c>
      <c r="D44" s="53" t="s">
        <v>45</v>
      </c>
      <c r="E44" s="37" t="s">
        <v>83</v>
      </c>
      <c r="F44" s="42">
        <v>600.0</v>
      </c>
      <c r="G44" s="42">
        <v>600.0</v>
      </c>
      <c r="H44" s="42">
        <v>600.0</v>
      </c>
      <c r="I44" s="42">
        <v>600.0</v>
      </c>
      <c r="J44" s="42">
        <v>600.0</v>
      </c>
      <c r="K44" s="42">
        <v>700.0</v>
      </c>
      <c r="L44" s="42">
        <v>700.0</v>
      </c>
      <c r="M44" s="42">
        <v>700.0</v>
      </c>
      <c r="N44" s="42">
        <f>'Res__400_-_Mensal_2023'!P36</f>
        <v>700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41" t="s">
        <v>84</v>
      </c>
      <c r="C45" s="35" t="s">
        <v>44</v>
      </c>
      <c r="D45" s="53" t="s">
        <v>45</v>
      </c>
      <c r="E45" s="37" t="s">
        <v>85</v>
      </c>
      <c r="F45" s="58">
        <v>219.0</v>
      </c>
      <c r="G45" s="58">
        <v>140.385583333333</v>
      </c>
      <c r="H45" s="58">
        <v>147.407883333333</v>
      </c>
      <c r="I45" s="58">
        <v>132.37425</v>
      </c>
      <c r="J45" s="58">
        <v>129.756683333333</v>
      </c>
      <c r="K45" s="58">
        <v>124.1128</v>
      </c>
      <c r="L45" s="58">
        <v>247.64319999999998</v>
      </c>
      <c r="M45" s="58">
        <v>107.90284285714286</v>
      </c>
      <c r="N45" s="58">
        <f>'Res__400_-_Mensal_2023'!P37</f>
        <v>80.34285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41" t="s">
        <v>86</v>
      </c>
      <c r="C46" s="35" t="s">
        <v>44</v>
      </c>
      <c r="D46" s="53" t="s">
        <v>45</v>
      </c>
      <c r="E46" s="37" t="s">
        <v>87</v>
      </c>
      <c r="F46" s="58">
        <v>485365.0</v>
      </c>
      <c r="G46" s="58">
        <v>620347.81</v>
      </c>
      <c r="H46" s="58">
        <v>618723.6</v>
      </c>
      <c r="I46" s="58">
        <v>469756.26</v>
      </c>
      <c r="J46" s="58">
        <v>490626.16</v>
      </c>
      <c r="K46" s="58">
        <v>503471.04</v>
      </c>
      <c r="L46" s="58">
        <v>526885.8</v>
      </c>
      <c r="M46" s="58">
        <v>541060.75</v>
      </c>
      <c r="N46" s="58">
        <f>'Res__400_-_Mensal_2023'!P38</f>
        <v>497961.825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41" t="s">
        <v>88</v>
      </c>
      <c r="C47" s="35" t="s">
        <v>44</v>
      </c>
      <c r="D47" s="53" t="s">
        <v>45</v>
      </c>
      <c r="E47" s="37" t="s">
        <v>89</v>
      </c>
      <c r="F47" s="42">
        <v>237.0</v>
      </c>
      <c r="G47" s="42">
        <v>241.0</v>
      </c>
      <c r="H47" s="42">
        <v>241.0</v>
      </c>
      <c r="I47" s="42">
        <v>241.0</v>
      </c>
      <c r="J47" s="42">
        <v>241.0</v>
      </c>
      <c r="K47" s="42">
        <v>241.0</v>
      </c>
      <c r="L47" s="42">
        <v>212.0</v>
      </c>
      <c r="M47" s="42">
        <v>212.0</v>
      </c>
      <c r="N47" s="42">
        <f>'Res__400_-_Mensal_2023'!P39</f>
        <v>212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59" t="s">
        <v>90</v>
      </c>
      <c r="C48" s="35" t="s">
        <v>44</v>
      </c>
      <c r="D48" s="53" t="s">
        <v>45</v>
      </c>
      <c r="E48" s="37" t="s">
        <v>91</v>
      </c>
      <c r="F48" s="58">
        <v>2048.0</v>
      </c>
      <c r="G48" s="58">
        <v>2574.05730290456</v>
      </c>
      <c r="H48" s="58">
        <v>2567.31784232365</v>
      </c>
      <c r="I48" s="58">
        <v>1970.25730290456</v>
      </c>
      <c r="J48" s="58">
        <v>2035.79319502075</v>
      </c>
      <c r="K48" s="58">
        <v>2089.09145228216</v>
      </c>
      <c r="L48" s="58">
        <v>2354.5793453158067</v>
      </c>
      <c r="M48" s="58">
        <v>2552.3631603773583</v>
      </c>
      <c r="N48" s="58">
        <f>'Res__400_-_Mensal_2023'!P40</f>
        <v>2348.876533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30" t="s">
        <v>92</v>
      </c>
      <c r="C49" s="31"/>
      <c r="D49" s="32"/>
      <c r="E49" s="56"/>
      <c r="F49" s="33"/>
      <c r="G49" s="33"/>
      <c r="H49" s="33"/>
      <c r="I49" s="33"/>
      <c r="J49" s="33"/>
      <c r="K49" s="33"/>
      <c r="L49" s="33"/>
      <c r="M49" s="33"/>
      <c r="N49" s="33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64" t="s">
        <v>93</v>
      </c>
      <c r="C50" s="35" t="s">
        <v>44</v>
      </c>
      <c r="D50" s="53" t="s">
        <v>45</v>
      </c>
      <c r="E50" s="37" t="s">
        <v>94</v>
      </c>
      <c r="F50" s="42">
        <v>1783435.0</v>
      </c>
      <c r="G50" s="42">
        <v>1806137.0</v>
      </c>
      <c r="H50" s="42">
        <v>1718334.0</v>
      </c>
      <c r="I50" s="42">
        <v>1622481.0</v>
      </c>
      <c r="J50" s="42">
        <v>1670917.0</v>
      </c>
      <c r="K50" s="42">
        <v>1138229.0</v>
      </c>
      <c r="L50" s="42">
        <v>988184.0</v>
      </c>
      <c r="M50" s="42">
        <v>1316563.0</v>
      </c>
      <c r="N50" s="42">
        <f>'Res__400_-_Mensal_2023'!P22</f>
        <v>1522754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64" t="s">
        <v>95</v>
      </c>
      <c r="C51" s="35" t="s">
        <v>44</v>
      </c>
      <c r="D51" s="53" t="s">
        <v>45</v>
      </c>
      <c r="E51" s="65" t="s">
        <v>96</v>
      </c>
      <c r="F51" s="42">
        <v>23.0</v>
      </c>
      <c r="G51" s="42">
        <v>23.1603534058268</v>
      </c>
      <c r="H51" s="42">
        <v>21.955490869922</v>
      </c>
      <c r="I51" s="42">
        <v>20.8053062166598</v>
      </c>
      <c r="J51" s="42">
        <v>24.0205428251057</v>
      </c>
      <c r="K51" s="42">
        <v>14.5956734714813</v>
      </c>
      <c r="L51" s="42">
        <f t="shared" ref="L51:N51" si="4">L50/L22</f>
        <v>12.67162495</v>
      </c>
      <c r="M51" s="42">
        <f t="shared" si="4"/>
        <v>16.88247589</v>
      </c>
      <c r="N51" s="42">
        <f t="shared" si="4"/>
        <v>19.52659277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64" t="s">
        <v>97</v>
      </c>
      <c r="C52" s="35" t="s">
        <v>44</v>
      </c>
      <c r="D52" s="53" t="s">
        <v>45</v>
      </c>
      <c r="E52" s="37" t="s">
        <v>98</v>
      </c>
      <c r="F52" s="58">
        <v>1059638.0</v>
      </c>
      <c r="G52" s="58">
        <v>1107572.8</v>
      </c>
      <c r="H52" s="58">
        <v>1109569.14</v>
      </c>
      <c r="I52" s="58">
        <v>1138946.0</v>
      </c>
      <c r="J52" s="58">
        <v>1283629.99</v>
      </c>
      <c r="K52" s="58">
        <v>852559.48</v>
      </c>
      <c r="L52" s="58">
        <v>841526.17</v>
      </c>
      <c r="M52" s="58">
        <v>1173698.8499999999</v>
      </c>
      <c r="N52" s="58">
        <f>'Res__400_-_Mensal_2023'!P23</f>
        <v>1441222.56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64" t="s">
        <v>99</v>
      </c>
      <c r="C53" s="35" t="s">
        <v>44</v>
      </c>
      <c r="D53" s="53" t="s">
        <v>45</v>
      </c>
      <c r="E53" s="54" t="s">
        <v>100</v>
      </c>
      <c r="F53" s="66">
        <v>14.0</v>
      </c>
      <c r="G53" s="58">
        <v>14.2025646286418</v>
      </c>
      <c r="H53" s="58">
        <v>14.2161293342224</v>
      </c>
      <c r="I53" s="58">
        <v>14.6048676651621</v>
      </c>
      <c r="J53" s="58">
        <v>18.4530345590984</v>
      </c>
      <c r="K53" s="58">
        <v>10.9324923061141</v>
      </c>
      <c r="L53" s="58">
        <f t="shared" ref="L53:N53" si="5">L52/L22</f>
        <v>10.79101059</v>
      </c>
      <c r="M53" s="58">
        <f t="shared" si="5"/>
        <v>15.05050844</v>
      </c>
      <c r="N53" s="58">
        <f t="shared" si="5"/>
        <v>18.48109808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64"/>
      <c r="C54" s="35" t="s">
        <v>9</v>
      </c>
      <c r="D54" s="67" t="s">
        <v>10</v>
      </c>
      <c r="E54" s="54" t="s">
        <v>101</v>
      </c>
      <c r="F54" s="66"/>
      <c r="G54" s="58"/>
      <c r="H54" s="58"/>
      <c r="I54" s="58"/>
      <c r="J54" s="58"/>
      <c r="K54" s="58"/>
      <c r="L54" s="58"/>
      <c r="M54" s="58"/>
      <c r="N54" s="58" t="s">
        <v>102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64"/>
      <c r="C55" s="35" t="s">
        <v>9</v>
      </c>
      <c r="D55" s="67" t="s">
        <v>10</v>
      </c>
      <c r="E55" s="54" t="s">
        <v>103</v>
      </c>
      <c r="F55" s="66"/>
      <c r="G55" s="58"/>
      <c r="H55" s="58"/>
      <c r="I55" s="58"/>
      <c r="J55" s="58"/>
      <c r="K55" s="58"/>
      <c r="L55" s="58"/>
      <c r="M55" s="58"/>
      <c r="N55" s="58" t="s">
        <v>102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30" t="s">
        <v>104</v>
      </c>
      <c r="C56" s="31"/>
      <c r="D56" s="32"/>
      <c r="E56" s="56"/>
      <c r="F56" s="33"/>
      <c r="G56" s="33"/>
      <c r="H56" s="33"/>
      <c r="I56" s="33"/>
      <c r="J56" s="33"/>
      <c r="K56" s="33"/>
      <c r="L56" s="33"/>
      <c r="M56" s="33"/>
      <c r="N56" s="33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64" t="s">
        <v>105</v>
      </c>
      <c r="C57" s="35" t="s">
        <v>44</v>
      </c>
      <c r="D57" s="53" t="s">
        <v>45</v>
      </c>
      <c r="E57" s="37" t="s">
        <v>106</v>
      </c>
      <c r="F57" s="42">
        <v>9599.0</v>
      </c>
      <c r="G57" s="42">
        <v>10386.0</v>
      </c>
      <c r="H57" s="42">
        <v>9185.0</v>
      </c>
      <c r="I57" s="42">
        <v>9240.0</v>
      </c>
      <c r="J57" s="42">
        <v>9859.0</v>
      </c>
      <c r="K57" s="42">
        <v>9815.0</v>
      </c>
      <c r="L57" s="42">
        <v>6084.0</v>
      </c>
      <c r="M57" s="42">
        <v>7807.0</v>
      </c>
      <c r="N57" s="42">
        <f>'Res__400_-_Mensal_2023'!P25</f>
        <v>12235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64" t="s">
        <v>107</v>
      </c>
      <c r="C58" s="35" t="s">
        <v>44</v>
      </c>
      <c r="D58" s="53" t="s">
        <v>45</v>
      </c>
      <c r="E58" s="37" t="s">
        <v>108</v>
      </c>
      <c r="F58" s="63">
        <f t="shared" ref="F58:N58" si="6">F57/$L$22</f>
        <v>0.1230893517</v>
      </c>
      <c r="G58" s="63">
        <f t="shared" si="6"/>
        <v>0.1331811654</v>
      </c>
      <c r="H58" s="63">
        <f t="shared" si="6"/>
        <v>0.1177805704</v>
      </c>
      <c r="I58" s="63">
        <f t="shared" si="6"/>
        <v>0.1184858432</v>
      </c>
      <c r="J58" s="63">
        <f t="shared" si="6"/>
        <v>0.1264233689</v>
      </c>
      <c r="K58" s="63">
        <f t="shared" si="6"/>
        <v>0.1258591506</v>
      </c>
      <c r="L58" s="63">
        <f t="shared" si="6"/>
        <v>0.07801600328</v>
      </c>
      <c r="M58" s="63">
        <f t="shared" si="6"/>
        <v>0.100110279</v>
      </c>
      <c r="N58" s="63">
        <f t="shared" si="6"/>
        <v>0.1568911572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64" t="s">
        <v>109</v>
      </c>
      <c r="C59" s="35" t="s">
        <v>44</v>
      </c>
      <c r="D59" s="53" t="s">
        <v>45</v>
      </c>
      <c r="E59" s="37" t="s">
        <v>110</v>
      </c>
      <c r="F59" s="58">
        <v>199546.0</v>
      </c>
      <c r="G59" s="58">
        <v>234057.41</v>
      </c>
      <c r="H59" s="58">
        <v>228296.25</v>
      </c>
      <c r="I59" s="58">
        <v>224676.93</v>
      </c>
      <c r="J59" s="58">
        <v>250830.04</v>
      </c>
      <c r="K59" s="58">
        <v>272020.46</v>
      </c>
      <c r="L59" s="58">
        <v>185323.54</v>
      </c>
      <c r="M59" s="58">
        <v>225471.24999999997</v>
      </c>
      <c r="N59" s="58">
        <f>'Res__400_-_Mensal_2023'!P26</f>
        <v>394641.25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64" t="s">
        <v>111</v>
      </c>
      <c r="C60" s="35" t="s">
        <v>44</v>
      </c>
      <c r="D60" s="53" t="s">
        <v>45</v>
      </c>
      <c r="E60" s="37" t="s">
        <v>112</v>
      </c>
      <c r="F60" s="58">
        <v>3.0</v>
      </c>
      <c r="G60" s="58">
        <v>3.00135168752565</v>
      </c>
      <c r="H60" s="58">
        <v>2.92747550779647</v>
      </c>
      <c r="I60" s="58">
        <v>2.88106444911777</v>
      </c>
      <c r="J60" s="58">
        <v>3.60584859549754</v>
      </c>
      <c r="K60" s="58">
        <v>3.48815731432089</v>
      </c>
      <c r="L60" s="58">
        <f t="shared" ref="L60:N60" si="7">L59/$L$22</f>
        <v>2.376430293</v>
      </c>
      <c r="M60" s="58">
        <f t="shared" si="7"/>
        <v>2.891250128</v>
      </c>
      <c r="N60" s="58">
        <f t="shared" si="7"/>
        <v>5.060541265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30" t="s">
        <v>113</v>
      </c>
      <c r="C61" s="31"/>
      <c r="D61" s="32"/>
      <c r="E61" s="56"/>
      <c r="F61" s="33"/>
      <c r="G61" s="33"/>
      <c r="H61" s="33"/>
      <c r="I61" s="33"/>
      <c r="J61" s="33"/>
      <c r="K61" s="33"/>
      <c r="L61" s="33"/>
      <c r="M61" s="33"/>
      <c r="N61" s="33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64" t="s">
        <v>114</v>
      </c>
      <c r="C62" s="35" t="s">
        <v>44</v>
      </c>
      <c r="D62" s="53" t="s">
        <v>45</v>
      </c>
      <c r="E62" s="37" t="s">
        <v>115</v>
      </c>
      <c r="F62" s="42">
        <v>1478.0</v>
      </c>
      <c r="G62" s="42">
        <v>1063.7</v>
      </c>
      <c r="H62" s="42">
        <v>714.9</v>
      </c>
      <c r="I62" s="42">
        <v>0.0</v>
      </c>
      <c r="J62" s="42">
        <v>0.0</v>
      </c>
      <c r="K62" s="42">
        <v>0.0</v>
      </c>
      <c r="L62" s="42">
        <v>0.0</v>
      </c>
      <c r="M62" s="42">
        <v>0.0</v>
      </c>
      <c r="N62" s="42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64" t="s">
        <v>116</v>
      </c>
      <c r="C63" s="35" t="s">
        <v>44</v>
      </c>
      <c r="D63" s="53" t="s">
        <v>45</v>
      </c>
      <c r="E63" s="37" t="s">
        <v>117</v>
      </c>
      <c r="F63" s="42">
        <v>0.0</v>
      </c>
      <c r="G63" s="42">
        <v>0.0</v>
      </c>
      <c r="H63" s="42">
        <v>0.0</v>
      </c>
      <c r="I63" s="42">
        <v>0.0</v>
      </c>
      <c r="J63" s="42">
        <v>0.0</v>
      </c>
      <c r="K63" s="42">
        <v>0.0</v>
      </c>
      <c r="L63" s="42">
        <v>0.0</v>
      </c>
      <c r="M63" s="42">
        <v>0.0</v>
      </c>
      <c r="N63" s="42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64" t="s">
        <v>118</v>
      </c>
      <c r="C64" s="35" t="s">
        <v>44</v>
      </c>
      <c r="D64" s="53" t="s">
        <v>45</v>
      </c>
      <c r="E64" s="37" t="s">
        <v>119</v>
      </c>
      <c r="F64" s="42">
        <v>0.0</v>
      </c>
      <c r="G64" s="42">
        <v>0.0</v>
      </c>
      <c r="H64" s="42">
        <v>0.0</v>
      </c>
      <c r="I64" s="42">
        <v>0.0</v>
      </c>
      <c r="J64" s="42">
        <v>0.0</v>
      </c>
      <c r="K64" s="42">
        <v>0.0</v>
      </c>
      <c r="L64" s="42">
        <v>0.0</v>
      </c>
      <c r="M64" s="42">
        <v>0.0</v>
      </c>
      <c r="N64" s="42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64" t="s">
        <v>120</v>
      </c>
      <c r="C65" s="35" t="s">
        <v>44</v>
      </c>
      <c r="D65" s="53" t="s">
        <v>45</v>
      </c>
      <c r="E65" s="37" t="s">
        <v>121</v>
      </c>
      <c r="F65" s="42">
        <v>0.0</v>
      </c>
      <c r="G65" s="42">
        <v>0.0</v>
      </c>
      <c r="H65" s="42">
        <v>0.0</v>
      </c>
      <c r="I65" s="42">
        <v>0.0</v>
      </c>
      <c r="J65" s="42">
        <v>0.0</v>
      </c>
      <c r="K65" s="42">
        <v>0.0</v>
      </c>
      <c r="L65" s="42">
        <v>0.0</v>
      </c>
      <c r="M65" s="42">
        <v>0.0</v>
      </c>
      <c r="N65" s="42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64" t="s">
        <v>122</v>
      </c>
      <c r="C66" s="35" t="s">
        <v>44</v>
      </c>
      <c r="D66" s="53" t="s">
        <v>45</v>
      </c>
      <c r="E66" s="37" t="s">
        <v>123</v>
      </c>
      <c r="F66" s="42">
        <v>0.0</v>
      </c>
      <c r="G66" s="42">
        <v>0.0</v>
      </c>
      <c r="H66" s="42">
        <v>0.0</v>
      </c>
      <c r="I66" s="42">
        <v>0.0</v>
      </c>
      <c r="J66" s="42">
        <v>0.0</v>
      </c>
      <c r="K66" s="42">
        <v>0.0</v>
      </c>
      <c r="L66" s="42">
        <v>0.0</v>
      </c>
      <c r="M66" s="42">
        <v>0.0</v>
      </c>
      <c r="N66" s="42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64" t="s">
        <v>124</v>
      </c>
      <c r="C67" s="35" t="s">
        <v>44</v>
      </c>
      <c r="D67" s="53" t="s">
        <v>45</v>
      </c>
      <c r="E67" s="37" t="s">
        <v>125</v>
      </c>
      <c r="F67" s="42">
        <v>1478.0</v>
      </c>
      <c r="G67" s="42">
        <v>1063.7</v>
      </c>
      <c r="H67" s="42">
        <v>714.9</v>
      </c>
      <c r="I67" s="42">
        <v>0.0</v>
      </c>
      <c r="J67" s="42">
        <v>0.0</v>
      </c>
      <c r="K67" s="42">
        <v>0.0</v>
      </c>
      <c r="L67" s="42">
        <v>0.0</v>
      </c>
      <c r="M67" s="42">
        <v>0.0</v>
      </c>
      <c r="N67" s="42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64" t="s">
        <v>126</v>
      </c>
      <c r="C68" s="35" t="s">
        <v>9</v>
      </c>
      <c r="D68" s="53" t="s">
        <v>10</v>
      </c>
      <c r="E68" s="37" t="s">
        <v>127</v>
      </c>
      <c r="F68" s="42" t="s">
        <v>128</v>
      </c>
      <c r="G68" s="42" t="s">
        <v>128</v>
      </c>
      <c r="H68" s="42" t="s">
        <v>128</v>
      </c>
      <c r="I68" s="42" t="s">
        <v>128</v>
      </c>
      <c r="J68" s="42" t="s">
        <v>128</v>
      </c>
      <c r="K68" s="42" t="s">
        <v>128</v>
      </c>
      <c r="L68" s="63" t="s">
        <v>128</v>
      </c>
      <c r="M68" s="42">
        <v>0.0</v>
      </c>
      <c r="N68" s="42" t="s">
        <v>129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64" t="s">
        <v>130</v>
      </c>
      <c r="C69" s="35" t="s">
        <v>44</v>
      </c>
      <c r="D69" s="53" t="s">
        <v>10</v>
      </c>
      <c r="E69" s="37" t="s">
        <v>131</v>
      </c>
      <c r="F69" s="42">
        <v>103.0</v>
      </c>
      <c r="G69" s="42">
        <v>85.8</v>
      </c>
      <c r="H69" s="42">
        <v>3400.0</v>
      </c>
      <c r="I69" s="42">
        <v>546.0</v>
      </c>
      <c r="J69" s="42">
        <v>582.0</v>
      </c>
      <c r="K69" s="42">
        <v>164.0</v>
      </c>
      <c r="L69" s="63">
        <v>209.3</v>
      </c>
      <c r="M69" s="68">
        <v>109.8</v>
      </c>
      <c r="N69" s="69">
        <f>SUM(69+15.5+13)</f>
        <v>97.5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64" t="s">
        <v>132</v>
      </c>
      <c r="C70" s="35" t="s">
        <v>44</v>
      </c>
      <c r="D70" s="53" t="s">
        <v>10</v>
      </c>
      <c r="E70" s="37" t="s">
        <v>133</v>
      </c>
      <c r="F70" s="42">
        <v>0.0</v>
      </c>
      <c r="G70" s="42">
        <v>0.0</v>
      </c>
      <c r="H70" s="42">
        <v>0.0</v>
      </c>
      <c r="I70" s="42">
        <v>0.0</v>
      </c>
      <c r="J70" s="42">
        <v>0.0</v>
      </c>
      <c r="K70" s="42">
        <v>0.0</v>
      </c>
      <c r="L70" s="42">
        <v>4146.0</v>
      </c>
      <c r="M70" s="42"/>
      <c r="N70" s="42">
        <v>0.0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64" t="s">
        <v>134</v>
      </c>
      <c r="C71" s="35" t="s">
        <v>44</v>
      </c>
      <c r="D71" s="53" t="s">
        <v>10</v>
      </c>
      <c r="E71" s="37" t="s">
        <v>135</v>
      </c>
      <c r="F71" s="42">
        <v>0.0</v>
      </c>
      <c r="G71" s="42">
        <v>0.0</v>
      </c>
      <c r="H71" s="42">
        <v>0.0</v>
      </c>
      <c r="I71" s="42">
        <v>677.0</v>
      </c>
      <c r="J71" s="42">
        <v>0.0</v>
      </c>
      <c r="K71" s="42">
        <v>5000.0</v>
      </c>
      <c r="L71" s="42">
        <v>3500.0</v>
      </c>
      <c r="M71" s="42">
        <v>3500.0</v>
      </c>
      <c r="N71" s="42">
        <v>4965.0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64" t="s">
        <v>136</v>
      </c>
      <c r="C72" s="35" t="s">
        <v>44</v>
      </c>
      <c r="D72" s="53" t="s">
        <v>10</v>
      </c>
      <c r="E72" s="37" t="s">
        <v>137</v>
      </c>
      <c r="F72" s="42">
        <v>167.0</v>
      </c>
      <c r="G72" s="42">
        <v>178.49</v>
      </c>
      <c r="H72" s="42">
        <v>216.57</v>
      </c>
      <c r="I72" s="42">
        <v>154.55</v>
      </c>
      <c r="J72" s="42">
        <v>230.33</v>
      </c>
      <c r="K72" s="42">
        <v>123.86</v>
      </c>
      <c r="L72" s="63">
        <v>231.86</v>
      </c>
      <c r="M72" s="63">
        <v>325.96</v>
      </c>
      <c r="N72" s="63">
        <v>323.97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64" t="s">
        <v>138</v>
      </c>
      <c r="C73" s="35" t="s">
        <v>44</v>
      </c>
      <c r="D73" s="53" t="s">
        <v>10</v>
      </c>
      <c r="E73" s="37" t="s">
        <v>139</v>
      </c>
      <c r="F73" s="42">
        <v>0.0</v>
      </c>
      <c r="G73" s="42">
        <v>0.0</v>
      </c>
      <c r="H73" s="42">
        <v>0.0</v>
      </c>
      <c r="I73" s="42">
        <v>127.0</v>
      </c>
      <c r="J73" s="42">
        <v>315.0</v>
      </c>
      <c r="K73" s="42">
        <v>550.0</v>
      </c>
      <c r="L73" s="42">
        <v>100000.0</v>
      </c>
      <c r="M73" s="70">
        <v>100000.0</v>
      </c>
      <c r="N73" s="70">
        <v>37500.0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30" t="s">
        <v>140</v>
      </c>
      <c r="C74" s="31"/>
      <c r="D74" s="32"/>
      <c r="E74" s="56"/>
      <c r="F74" s="33"/>
      <c r="G74" s="33"/>
      <c r="H74" s="33"/>
      <c r="I74" s="33"/>
      <c r="J74" s="33"/>
      <c r="K74" s="33"/>
      <c r="L74" s="33"/>
      <c r="M74" s="33"/>
      <c r="N74" s="33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64" t="s">
        <v>141</v>
      </c>
      <c r="C75" s="35" t="s">
        <v>44</v>
      </c>
      <c r="D75" s="53" t="s">
        <v>10</v>
      </c>
      <c r="E75" s="37" t="s">
        <v>142</v>
      </c>
      <c r="F75" s="58">
        <v>1399451.0</v>
      </c>
      <c r="G75" s="58">
        <v>898093.0</v>
      </c>
      <c r="H75" s="58">
        <v>1704863.03</v>
      </c>
      <c r="I75" s="58">
        <v>1491180.04</v>
      </c>
      <c r="J75" s="58">
        <v>2075206.64</v>
      </c>
      <c r="K75" s="58">
        <v>4293215.9</v>
      </c>
      <c r="L75" s="58">
        <v>3787341.88</v>
      </c>
      <c r="M75" s="71">
        <v>3505915.38</v>
      </c>
      <c r="N75" s="71">
        <v>4042038.82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64" t="s">
        <v>143</v>
      </c>
      <c r="C76" s="35" t="s">
        <v>9</v>
      </c>
      <c r="D76" s="53" t="s">
        <v>10</v>
      </c>
      <c r="E76" s="37" t="s">
        <v>144</v>
      </c>
      <c r="F76" s="58"/>
      <c r="G76" s="58"/>
      <c r="H76" s="58"/>
      <c r="I76" s="58"/>
      <c r="J76" s="58"/>
      <c r="K76" s="58"/>
      <c r="L76" s="58"/>
      <c r="M76" s="58"/>
      <c r="N76" s="58">
        <v>0.0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30" t="s">
        <v>145</v>
      </c>
      <c r="C77" s="31"/>
      <c r="D77" s="32"/>
      <c r="E77" s="56"/>
      <c r="F77" s="33"/>
      <c r="G77" s="33"/>
      <c r="H77" s="33"/>
      <c r="I77" s="33"/>
      <c r="J77" s="33"/>
      <c r="K77" s="33"/>
      <c r="L77" s="33"/>
      <c r="M77" s="33"/>
      <c r="N77" s="33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27.0" customHeight="1">
      <c r="A78" s="8"/>
      <c r="B78" s="64" t="s">
        <v>146</v>
      </c>
      <c r="C78" s="35" t="s">
        <v>44</v>
      </c>
      <c r="D78" s="53" t="s">
        <v>10</v>
      </c>
      <c r="E78" s="37" t="s">
        <v>147</v>
      </c>
      <c r="F78" s="72">
        <v>2594765.0</v>
      </c>
      <c r="G78" s="72">
        <v>2892844.0</v>
      </c>
      <c r="H78" s="72">
        <v>3295073.74</v>
      </c>
      <c r="I78" s="72">
        <v>3236219.15</v>
      </c>
      <c r="J78" s="72">
        <v>3122010.93</v>
      </c>
      <c r="K78" s="72">
        <v>2910106.87</v>
      </c>
      <c r="L78" s="72">
        <v>2517363.72</v>
      </c>
      <c r="M78" s="73">
        <v>2520095.17</v>
      </c>
      <c r="N78" s="73">
        <v>2759836.75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64" t="s">
        <v>148</v>
      </c>
      <c r="C79" s="35" t="s">
        <v>44</v>
      </c>
      <c r="D79" s="53" t="s">
        <v>10</v>
      </c>
      <c r="E79" s="37" t="s">
        <v>149</v>
      </c>
      <c r="F79" s="74">
        <v>48848.0</v>
      </c>
      <c r="G79" s="74">
        <v>32784.0</v>
      </c>
      <c r="H79" s="74">
        <v>32784.0</v>
      </c>
      <c r="I79" s="74">
        <v>32680.5</v>
      </c>
      <c r="J79" s="74">
        <v>30275.24</v>
      </c>
      <c r="K79" s="74">
        <v>35273.04</v>
      </c>
      <c r="L79" s="74">
        <v>35273.04</v>
      </c>
      <c r="M79" s="74">
        <v>35273.04</v>
      </c>
      <c r="N79" s="75">
        <v>35273.04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64" t="s">
        <v>150</v>
      </c>
      <c r="C80" s="35" t="s">
        <v>44</v>
      </c>
      <c r="D80" s="53" t="s">
        <v>10</v>
      </c>
      <c r="E80" s="37" t="s">
        <v>151</v>
      </c>
      <c r="F80" s="72">
        <v>53.0</v>
      </c>
      <c r="G80" s="72">
        <v>88.2395070766227</v>
      </c>
      <c r="H80" s="72">
        <v>100.508593826257</v>
      </c>
      <c r="I80" s="72">
        <v>99.0259986842307</v>
      </c>
      <c r="J80" s="72">
        <v>103.120930833249</v>
      </c>
      <c r="K80" s="72">
        <v>82.5022983559115</v>
      </c>
      <c r="L80" s="72">
        <v>71.36792632560166</v>
      </c>
      <c r="M80" s="72">
        <f t="shared" ref="M80:N80" si="8">(M78/M79)</f>
        <v>71.44536365</v>
      </c>
      <c r="N80" s="72">
        <f t="shared" si="8"/>
        <v>78.24210077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25.5" customHeight="1">
      <c r="A81" s="8"/>
      <c r="B81" s="64" t="s">
        <v>152</v>
      </c>
      <c r="C81" s="35" t="s">
        <v>44</v>
      </c>
      <c r="D81" s="53" t="s">
        <v>10</v>
      </c>
      <c r="E81" s="37" t="s">
        <v>153</v>
      </c>
      <c r="F81" s="72">
        <v>236871.0</v>
      </c>
      <c r="G81" s="72">
        <v>97067.0</v>
      </c>
      <c r="H81" s="72">
        <v>91207.91</v>
      </c>
      <c r="I81" s="72">
        <v>0.0</v>
      </c>
      <c r="J81" s="72">
        <v>0.0</v>
      </c>
      <c r="K81" s="72">
        <v>76466.1</v>
      </c>
      <c r="L81" s="72">
        <v>203384.88</v>
      </c>
      <c r="M81" s="76">
        <v>130874.53</v>
      </c>
      <c r="N81" s="76">
        <v>167537.19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30" t="s">
        <v>154</v>
      </c>
      <c r="C82" s="31"/>
      <c r="D82" s="32"/>
      <c r="E82" s="56"/>
      <c r="F82" s="33"/>
      <c r="G82" s="33"/>
      <c r="H82" s="33"/>
      <c r="I82" s="33"/>
      <c r="J82" s="33"/>
      <c r="K82" s="33"/>
      <c r="L82" s="33"/>
      <c r="M82" s="33"/>
      <c r="N82" s="33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64" t="s">
        <v>155</v>
      </c>
      <c r="C83" s="35" t="s">
        <v>9</v>
      </c>
      <c r="D83" s="53" t="s">
        <v>10</v>
      </c>
      <c r="E83" s="37" t="s">
        <v>156</v>
      </c>
      <c r="F83" s="58">
        <v>2004593.0</v>
      </c>
      <c r="G83" s="58">
        <v>2110335.0</v>
      </c>
      <c r="H83" s="58">
        <v>2355529.0</v>
      </c>
      <c r="I83" s="58">
        <v>2209589.76</v>
      </c>
      <c r="J83" s="58">
        <v>2618468.9699999997</v>
      </c>
      <c r="K83" s="58">
        <v>2711952.6</v>
      </c>
      <c r="L83" s="58">
        <v>2683360.2</v>
      </c>
      <c r="M83" s="58">
        <v>3087231.96</v>
      </c>
      <c r="N83" s="77">
        <v>3259071.59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64"/>
      <c r="C84" s="47" t="s">
        <v>9</v>
      </c>
      <c r="D84" s="78" t="s">
        <v>10</v>
      </c>
      <c r="E84" s="37" t="s">
        <v>157</v>
      </c>
      <c r="F84" s="45">
        <v>14.0</v>
      </c>
      <c r="G84" s="45">
        <v>15.0</v>
      </c>
      <c r="H84" s="45">
        <v>15.0</v>
      </c>
      <c r="I84" s="45">
        <v>14.0</v>
      </c>
      <c r="J84" s="45">
        <v>16.0</v>
      </c>
      <c r="K84" s="45">
        <v>16.0</v>
      </c>
      <c r="L84" s="45">
        <v>16.0</v>
      </c>
      <c r="M84" s="35">
        <v>17.0</v>
      </c>
      <c r="N84" s="35">
        <v>17.0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64" t="s">
        <v>158</v>
      </c>
      <c r="C85" s="47" t="s">
        <v>9</v>
      </c>
      <c r="D85" s="78" t="s">
        <v>10</v>
      </c>
      <c r="E85" s="79" t="s">
        <v>159</v>
      </c>
      <c r="F85" s="45">
        <v>33.0</v>
      </c>
      <c r="G85" s="45">
        <v>33.0</v>
      </c>
      <c r="H85" s="45">
        <v>33.0</v>
      </c>
      <c r="I85" s="45">
        <v>33.0</v>
      </c>
      <c r="J85" s="45">
        <v>33.0</v>
      </c>
      <c r="K85" s="45">
        <v>33.0</v>
      </c>
      <c r="L85" s="45">
        <v>33.0</v>
      </c>
      <c r="M85" s="47">
        <v>33.0</v>
      </c>
      <c r="N85" s="47">
        <v>33.0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64" t="s">
        <v>160</v>
      </c>
      <c r="C86" s="35" t="s">
        <v>9</v>
      </c>
      <c r="D86" s="53" t="s">
        <v>10</v>
      </c>
      <c r="E86" s="37" t="s">
        <v>161</v>
      </c>
      <c r="F86" s="58">
        <f t="shared" ref="F86:K86" si="9">F83/F84</f>
        <v>143185.2143</v>
      </c>
      <c r="G86" s="58">
        <f t="shared" si="9"/>
        <v>140689</v>
      </c>
      <c r="H86" s="58">
        <f t="shared" si="9"/>
        <v>157035.2667</v>
      </c>
      <c r="I86" s="58">
        <f t="shared" si="9"/>
        <v>157827.84</v>
      </c>
      <c r="J86" s="58">
        <f t="shared" si="9"/>
        <v>163654.3106</v>
      </c>
      <c r="K86" s="58">
        <f t="shared" si="9"/>
        <v>169497.0375</v>
      </c>
      <c r="L86" s="58">
        <v>167710.0125</v>
      </c>
      <c r="M86" s="58">
        <f t="shared" ref="M86:N86" si="10">M83/M85</f>
        <v>93552.48364</v>
      </c>
      <c r="N86" s="58">
        <f t="shared" si="10"/>
        <v>98759.74515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64" t="s">
        <v>162</v>
      </c>
      <c r="C87" s="35" t="s">
        <v>9</v>
      </c>
      <c r="D87" s="53" t="s">
        <v>10</v>
      </c>
      <c r="E87" s="37" t="s">
        <v>163</v>
      </c>
      <c r="F87" s="42"/>
      <c r="G87" s="42"/>
      <c r="H87" s="42"/>
      <c r="I87" s="42"/>
      <c r="J87" s="80">
        <v>0.0</v>
      </c>
      <c r="K87" s="81">
        <f>122490+11000</f>
        <v>133490</v>
      </c>
      <c r="L87" s="80">
        <v>0.0</v>
      </c>
      <c r="M87" s="80">
        <f>53439.34+115073.47+12078</f>
        <v>180590.81</v>
      </c>
      <c r="N87" s="80">
        <f>SUM(76750.2+190000)</f>
        <v>266750.2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30" t="s">
        <v>164</v>
      </c>
      <c r="C88" s="31"/>
      <c r="D88" s="32"/>
      <c r="E88" s="56"/>
      <c r="F88" s="33"/>
      <c r="G88" s="33"/>
      <c r="H88" s="33"/>
      <c r="I88" s="33"/>
      <c r="J88" s="33"/>
      <c r="K88" s="33"/>
      <c r="L88" s="33"/>
      <c r="M88" s="33"/>
      <c r="N88" s="33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64"/>
      <c r="C89" s="82"/>
      <c r="D89" s="83"/>
      <c r="E89" s="84" t="s">
        <v>165</v>
      </c>
      <c r="F89" s="42"/>
      <c r="G89" s="42">
        <v>8.0</v>
      </c>
      <c r="H89" s="42">
        <v>8.0</v>
      </c>
      <c r="I89" s="42">
        <v>6.0</v>
      </c>
      <c r="J89" s="42">
        <v>6.0</v>
      </c>
      <c r="K89" s="42">
        <v>6.0</v>
      </c>
      <c r="L89" s="42">
        <v>5.0</v>
      </c>
      <c r="M89" s="85">
        <v>5.0</v>
      </c>
      <c r="N89" s="85">
        <v>7.0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64" t="s">
        <v>166</v>
      </c>
      <c r="C90" s="35" t="s">
        <v>44</v>
      </c>
      <c r="D90" s="53" t="s">
        <v>10</v>
      </c>
      <c r="E90" s="37" t="s">
        <v>167</v>
      </c>
      <c r="F90" s="42">
        <v>41.0</v>
      </c>
      <c r="G90" s="42">
        <v>43.0</v>
      </c>
      <c r="H90" s="42">
        <v>38.0</v>
      </c>
      <c r="I90" s="42">
        <v>24.0</v>
      </c>
      <c r="J90" s="42">
        <v>38.0</v>
      </c>
      <c r="K90" s="42">
        <v>32.0</v>
      </c>
      <c r="L90" s="42">
        <v>27.0</v>
      </c>
      <c r="M90" s="85">
        <v>27.0</v>
      </c>
      <c r="N90" s="85">
        <v>30.0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64" t="s">
        <v>168</v>
      </c>
      <c r="C91" s="35" t="s">
        <v>9</v>
      </c>
      <c r="D91" s="53" t="s">
        <v>10</v>
      </c>
      <c r="E91" s="37" t="s">
        <v>169</v>
      </c>
      <c r="F91" s="42"/>
      <c r="G91" s="42">
        <v>53.0</v>
      </c>
      <c r="H91" s="42">
        <v>51.0</v>
      </c>
      <c r="I91" s="42">
        <v>48.0</v>
      </c>
      <c r="J91" s="42">
        <v>47.0</v>
      </c>
      <c r="K91" s="42">
        <v>42.0</v>
      </c>
      <c r="L91" s="42">
        <v>37.0</v>
      </c>
      <c r="M91" s="42">
        <v>38.0</v>
      </c>
      <c r="N91" s="42">
        <v>38.0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64" t="s">
        <v>170</v>
      </c>
      <c r="C92" s="35" t="s">
        <v>44</v>
      </c>
      <c r="D92" s="53" t="s">
        <v>10</v>
      </c>
      <c r="E92" s="37" t="s">
        <v>171</v>
      </c>
      <c r="F92" s="42">
        <v>7.0</v>
      </c>
      <c r="G92" s="42">
        <v>7.0</v>
      </c>
      <c r="H92" s="42">
        <v>7.0</v>
      </c>
      <c r="I92" s="42">
        <v>7.0</v>
      </c>
      <c r="J92" s="42">
        <v>7.0</v>
      </c>
      <c r="K92" s="42">
        <v>7.0</v>
      </c>
      <c r="L92" s="42">
        <v>7.0</v>
      </c>
      <c r="M92" s="42">
        <v>6.0</v>
      </c>
      <c r="N92" s="42">
        <v>9.0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64" t="s">
        <v>172</v>
      </c>
      <c r="C93" s="35" t="s">
        <v>9</v>
      </c>
      <c r="D93" s="53" t="s">
        <v>10</v>
      </c>
      <c r="E93" s="37" t="s">
        <v>173</v>
      </c>
      <c r="F93" s="42"/>
      <c r="G93" s="42"/>
      <c r="H93" s="42"/>
      <c r="I93" s="42"/>
      <c r="J93" s="42"/>
      <c r="K93" s="42"/>
      <c r="L93" s="42"/>
      <c r="M93" s="42">
        <v>0.0</v>
      </c>
      <c r="N93" s="42">
        <v>0.0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64" t="s">
        <v>174</v>
      </c>
      <c r="C94" s="35" t="s">
        <v>44</v>
      </c>
      <c r="D94" s="53" t="s">
        <v>10</v>
      </c>
      <c r="E94" s="37" t="s">
        <v>175</v>
      </c>
      <c r="F94" s="42">
        <v>58.0</v>
      </c>
      <c r="G94" s="42">
        <v>60.0</v>
      </c>
      <c r="H94" s="42">
        <v>58.0</v>
      </c>
      <c r="I94" s="42">
        <v>55.0</v>
      </c>
      <c r="J94" s="42">
        <v>54.0</v>
      </c>
      <c r="K94" s="42">
        <v>49.0</v>
      </c>
      <c r="L94" s="42">
        <v>44.0</v>
      </c>
      <c r="M94" s="42">
        <f t="shared" ref="M94:N94" si="11">M91+M92+M93</f>
        <v>44</v>
      </c>
      <c r="N94" s="42">
        <f t="shared" si="11"/>
        <v>47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64" t="s">
        <v>176</v>
      </c>
      <c r="C95" s="35" t="s">
        <v>44</v>
      </c>
      <c r="D95" s="53" t="s">
        <v>10</v>
      </c>
      <c r="E95" s="37" t="s">
        <v>177</v>
      </c>
      <c r="F95" s="42">
        <v>524316.0</v>
      </c>
      <c r="G95" s="42">
        <v>500588.0</v>
      </c>
      <c r="H95" s="42">
        <v>482820.0</v>
      </c>
      <c r="I95" s="42">
        <v>388410.886</v>
      </c>
      <c r="J95" s="42">
        <v>436328.0</v>
      </c>
      <c r="K95" s="42">
        <v>193696.98</v>
      </c>
      <c r="L95" s="42">
        <v>219688.798</v>
      </c>
      <c r="M95" s="70">
        <v>317049.0</v>
      </c>
      <c r="N95" s="86">
        <v>349311.0</v>
      </c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64" t="s">
        <v>178</v>
      </c>
      <c r="C96" s="35" t="s">
        <v>44</v>
      </c>
      <c r="D96" s="53" t="s">
        <v>10</v>
      </c>
      <c r="E96" s="37" t="s">
        <v>179</v>
      </c>
      <c r="F96" s="42">
        <v>13.0</v>
      </c>
      <c r="G96" s="42">
        <v>18.7674418604651</v>
      </c>
      <c r="H96" s="42">
        <v>22.7368421052632</v>
      </c>
      <c r="I96" s="42">
        <v>33.875</v>
      </c>
      <c r="J96" s="42">
        <v>23.7894736842105</v>
      </c>
      <c r="K96" s="42">
        <v>27.53125</v>
      </c>
      <c r="L96" s="42">
        <v>32.0</v>
      </c>
      <c r="M96" s="42">
        <f t="shared" ref="M96:N96" si="12">(M20+M12)/M90</f>
        <v>29.77777778</v>
      </c>
      <c r="N96" s="42">
        <f t="shared" si="12"/>
        <v>29.63333333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64" t="s">
        <v>180</v>
      </c>
      <c r="C97" s="35" t="s">
        <v>44</v>
      </c>
      <c r="D97" s="53" t="s">
        <v>10</v>
      </c>
      <c r="E97" s="37" t="s">
        <v>181</v>
      </c>
      <c r="F97" s="42">
        <v>17.0</v>
      </c>
      <c r="G97" s="42">
        <v>17.0</v>
      </c>
      <c r="H97" s="42">
        <v>20.0</v>
      </c>
      <c r="I97" s="42">
        <v>31.0</v>
      </c>
      <c r="J97" s="42">
        <v>17.0</v>
      </c>
      <c r="K97" s="42">
        <v>17.0</v>
      </c>
      <c r="L97" s="42">
        <v>17.0</v>
      </c>
      <c r="M97" s="42">
        <v>17.0</v>
      </c>
      <c r="N97" s="42">
        <v>17.0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64" t="s">
        <v>182</v>
      </c>
      <c r="C98" s="35" t="s">
        <v>44</v>
      </c>
      <c r="D98" s="53" t="s">
        <v>10</v>
      </c>
      <c r="E98" s="37" t="s">
        <v>183</v>
      </c>
      <c r="F98" s="63">
        <f t="shared" ref="F98:N98" si="13">F8/F97</f>
        <v>0.8823529412</v>
      </c>
      <c r="G98" s="63">
        <f t="shared" si="13"/>
        <v>0.8823529412</v>
      </c>
      <c r="H98" s="63">
        <f t="shared" si="13"/>
        <v>0.75</v>
      </c>
      <c r="I98" s="63">
        <f t="shared" si="13"/>
        <v>0.4838709677</v>
      </c>
      <c r="J98" s="63">
        <f t="shared" si="13"/>
        <v>0.9411764706</v>
      </c>
      <c r="K98" s="63">
        <f t="shared" si="13"/>
        <v>0.9411764706</v>
      </c>
      <c r="L98" s="63">
        <f t="shared" si="13"/>
        <v>0.9411764706</v>
      </c>
      <c r="M98" s="63">
        <f t="shared" si="13"/>
        <v>0.8823529412</v>
      </c>
      <c r="N98" s="63">
        <f t="shared" si="13"/>
        <v>0.9411764706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64" t="s">
        <v>184</v>
      </c>
      <c r="C99" s="35" t="s">
        <v>44</v>
      </c>
      <c r="D99" s="53" t="s">
        <v>10</v>
      </c>
      <c r="E99" s="37" t="s">
        <v>185</v>
      </c>
      <c r="F99" s="87">
        <v>71900.0</v>
      </c>
      <c r="G99" s="87">
        <v>91389.51</v>
      </c>
      <c r="H99" s="87">
        <v>97095.22</v>
      </c>
      <c r="I99" s="87">
        <v>116610.2</v>
      </c>
      <c r="J99" s="87">
        <v>120240.88</v>
      </c>
      <c r="K99" s="87">
        <v>41772.28</v>
      </c>
      <c r="L99" s="87">
        <v>82129.89</v>
      </c>
      <c r="M99" s="87">
        <v>111823.07</v>
      </c>
      <c r="N99" s="87">
        <v>272427.95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64" t="s">
        <v>186</v>
      </c>
      <c r="C100" s="35" t="s">
        <v>44</v>
      </c>
      <c r="D100" s="53" t="s">
        <v>10</v>
      </c>
      <c r="E100" s="37" t="s">
        <v>187</v>
      </c>
      <c r="F100" s="58">
        <v>1240.0</v>
      </c>
      <c r="G100" s="58">
        <v>1523.1585</v>
      </c>
      <c r="H100" s="58">
        <v>1674.05551724138</v>
      </c>
      <c r="I100" s="58">
        <v>2120.18545454545</v>
      </c>
      <c r="J100" s="58">
        <v>2226.68296296296</v>
      </c>
      <c r="K100" s="58">
        <v>852.495510204082</v>
      </c>
      <c r="L100" s="58">
        <v>1866.5884090909092</v>
      </c>
      <c r="M100" s="58">
        <f t="shared" ref="M100:N100" si="14">M99/M94</f>
        <v>2541.433409</v>
      </c>
      <c r="N100" s="58">
        <f t="shared" si="14"/>
        <v>5796.339362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64" t="s">
        <v>188</v>
      </c>
      <c r="C101" s="35" t="s">
        <v>44</v>
      </c>
      <c r="D101" s="53" t="s">
        <v>10</v>
      </c>
      <c r="E101" s="37" t="s">
        <v>189</v>
      </c>
      <c r="F101" s="58">
        <v>726104.0</v>
      </c>
      <c r="G101" s="58">
        <v>754206.64</v>
      </c>
      <c r="H101" s="58">
        <v>813518.41</v>
      </c>
      <c r="I101" s="58">
        <v>549742.7</v>
      </c>
      <c r="J101" s="58">
        <v>299867.88</v>
      </c>
      <c r="K101" s="58">
        <v>428379.1</v>
      </c>
      <c r="L101" s="58">
        <v>370648.8</v>
      </c>
      <c r="M101" s="88">
        <v>404832.6</v>
      </c>
      <c r="N101" s="61">
        <v>636675.44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64" t="s">
        <v>190</v>
      </c>
      <c r="C102" s="35" t="s">
        <v>44</v>
      </c>
      <c r="D102" s="53" t="s">
        <v>10</v>
      </c>
      <c r="E102" s="37" t="s">
        <v>191</v>
      </c>
      <c r="F102" s="58">
        <v>12519.0</v>
      </c>
      <c r="G102" s="58">
        <f t="shared" ref="G102:K102" si="15">G101/G94</f>
        <v>12570.11067</v>
      </c>
      <c r="H102" s="58">
        <f t="shared" si="15"/>
        <v>14026.17948</v>
      </c>
      <c r="I102" s="58">
        <f t="shared" si="15"/>
        <v>9995.321818</v>
      </c>
      <c r="J102" s="58">
        <f t="shared" si="15"/>
        <v>5553.108889</v>
      </c>
      <c r="K102" s="58">
        <f t="shared" si="15"/>
        <v>8742.430612</v>
      </c>
      <c r="L102" s="58">
        <v>8423.836363636363</v>
      </c>
      <c r="M102" s="58">
        <f t="shared" ref="M102:N102" si="16">M101/M94</f>
        <v>9200.740909</v>
      </c>
      <c r="N102" s="58">
        <f t="shared" si="16"/>
        <v>13546.28596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64" t="s">
        <v>192</v>
      </c>
      <c r="C103" s="35" t="s">
        <v>9</v>
      </c>
      <c r="D103" s="53" t="s">
        <v>10</v>
      </c>
      <c r="E103" s="37" t="s">
        <v>193</v>
      </c>
      <c r="F103" s="58"/>
      <c r="G103" s="58"/>
      <c r="H103" s="58"/>
      <c r="I103" s="58"/>
      <c r="J103" s="80">
        <v>42474.35</v>
      </c>
      <c r="K103" s="80">
        <v>12333.24</v>
      </c>
      <c r="L103" s="89">
        <v>10753.39</v>
      </c>
      <c r="M103" s="90">
        <v>25926.33</v>
      </c>
      <c r="N103" s="77">
        <v>21368.91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91" t="s">
        <v>194</v>
      </c>
      <c r="C104" s="31"/>
      <c r="D104" s="32"/>
      <c r="E104" s="56"/>
      <c r="F104" s="33"/>
      <c r="G104" s="33"/>
      <c r="H104" s="33"/>
      <c r="I104" s="33"/>
      <c r="J104" s="33"/>
      <c r="K104" s="33"/>
      <c r="L104" s="33"/>
      <c r="M104" s="33"/>
      <c r="N104" s="33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34" t="s">
        <v>195</v>
      </c>
      <c r="C105" s="92" t="s">
        <v>44</v>
      </c>
      <c r="D105" s="53" t="s">
        <v>10</v>
      </c>
      <c r="E105" s="37" t="s">
        <v>196</v>
      </c>
      <c r="F105" s="93">
        <v>49786.0</v>
      </c>
      <c r="G105" s="93">
        <v>46004.01</v>
      </c>
      <c r="H105" s="93">
        <v>40541.41</v>
      </c>
      <c r="I105" s="93">
        <v>42442.21</v>
      </c>
      <c r="J105" s="93">
        <v>44537.424</v>
      </c>
      <c r="K105" s="93">
        <v>16707.9</v>
      </c>
      <c r="L105" s="93">
        <v>24691.076</v>
      </c>
      <c r="M105" s="93">
        <v>30302.39</v>
      </c>
      <c r="N105" s="93">
        <f>'Res__400_-_Mensal_2023'!P42</f>
        <v>35352.981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41" t="s">
        <v>197</v>
      </c>
      <c r="C106" s="92" t="s">
        <v>44</v>
      </c>
      <c r="D106" s="53" t="s">
        <v>10</v>
      </c>
      <c r="E106" s="37" t="s">
        <v>198</v>
      </c>
      <c r="F106" s="93">
        <v>9833.0</v>
      </c>
      <c r="G106" s="93">
        <v>10896.904</v>
      </c>
      <c r="H106" s="93">
        <v>16778.44</v>
      </c>
      <c r="I106" s="93">
        <v>8773.487</v>
      </c>
      <c r="J106" s="93">
        <v>6071.41</v>
      </c>
      <c r="K106" s="93">
        <v>2839.85</v>
      </c>
      <c r="L106" s="93">
        <v>2412.3889999999997</v>
      </c>
      <c r="M106" s="93">
        <v>3521.889</v>
      </c>
      <c r="N106" s="93">
        <f>'Res__400_-_Mensal_2023'!P43</f>
        <v>4331.273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41" t="s">
        <v>199</v>
      </c>
      <c r="C107" s="92" t="s">
        <v>44</v>
      </c>
      <c r="D107" s="53" t="s">
        <v>10</v>
      </c>
      <c r="E107" s="37" t="s">
        <v>200</v>
      </c>
      <c r="F107" s="93">
        <v>4644.0</v>
      </c>
      <c r="G107" s="93">
        <v>6027.308</v>
      </c>
      <c r="H107" s="93">
        <v>4129.129</v>
      </c>
      <c r="I107" s="93">
        <v>4196.738</v>
      </c>
      <c r="J107" s="93">
        <v>4579.937</v>
      </c>
      <c r="K107" s="93">
        <v>4174.07</v>
      </c>
      <c r="L107" s="93">
        <v>2567.016</v>
      </c>
      <c r="M107" s="93">
        <v>3686.776</v>
      </c>
      <c r="N107" s="93">
        <f>'Res__400_-_Mensal_2023'!P44</f>
        <v>4507.508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41" t="s">
        <v>201</v>
      </c>
      <c r="C108" s="92" t="s">
        <v>58</v>
      </c>
      <c r="D108" s="53" t="s">
        <v>10</v>
      </c>
      <c r="E108" s="37" t="s">
        <v>202</v>
      </c>
      <c r="F108" s="93">
        <f t="shared" ref="F108:M108" si="17">SUM(F105:F107)</f>
        <v>64263</v>
      </c>
      <c r="G108" s="93">
        <f t="shared" si="17"/>
        <v>62928.222</v>
      </c>
      <c r="H108" s="93">
        <f t="shared" si="17"/>
        <v>61448.979</v>
      </c>
      <c r="I108" s="93">
        <f t="shared" si="17"/>
        <v>55412.435</v>
      </c>
      <c r="J108" s="93">
        <f t="shared" si="17"/>
        <v>55188.771</v>
      </c>
      <c r="K108" s="93">
        <f t="shared" si="17"/>
        <v>23721.82</v>
      </c>
      <c r="L108" s="93">
        <f t="shared" si="17"/>
        <v>29670.481</v>
      </c>
      <c r="M108" s="93">
        <f t="shared" si="17"/>
        <v>37511.055</v>
      </c>
      <c r="N108" s="93">
        <f>'Res__400_-_Mensal_2023'!P45</f>
        <v>44191.762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41" t="s">
        <v>203</v>
      </c>
      <c r="C109" s="92" t="s">
        <v>44</v>
      </c>
      <c r="D109" s="53" t="s">
        <v>10</v>
      </c>
      <c r="E109" s="37" t="s">
        <v>204</v>
      </c>
      <c r="F109" s="93">
        <v>1170.0</v>
      </c>
      <c r="G109" s="93">
        <v>1073.6021509434</v>
      </c>
      <c r="H109" s="93">
        <v>1123.91862745098</v>
      </c>
      <c r="I109" s="93">
        <v>1066.9936875</v>
      </c>
      <c r="J109" s="93">
        <v>1076.78370212766</v>
      </c>
      <c r="K109" s="93">
        <v>465.422619047619</v>
      </c>
      <c r="L109" s="93">
        <v>732.5260810810811</v>
      </c>
      <c r="M109" s="93">
        <f t="shared" ref="M109:N109" si="18">(M105+M106)/M91</f>
        <v>890.1126053</v>
      </c>
      <c r="N109" s="93">
        <f t="shared" si="18"/>
        <v>1044.322474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41" t="s">
        <v>205</v>
      </c>
      <c r="C110" s="92" t="s">
        <v>44</v>
      </c>
      <c r="D110" s="53" t="s">
        <v>10</v>
      </c>
      <c r="E110" s="37" t="s">
        <v>206</v>
      </c>
      <c r="F110" s="93">
        <v>663.0</v>
      </c>
      <c r="G110" s="93">
        <v>861.044</v>
      </c>
      <c r="H110" s="93">
        <v>589.875571428571</v>
      </c>
      <c r="I110" s="93">
        <v>599.534</v>
      </c>
      <c r="J110" s="93">
        <v>654.276714285714</v>
      </c>
      <c r="K110" s="93">
        <v>596.295714285714</v>
      </c>
      <c r="L110" s="93">
        <v>366.71657142857146</v>
      </c>
      <c r="M110" s="93">
        <f t="shared" ref="M110:N110" si="19">M107/M92</f>
        <v>614.4626667</v>
      </c>
      <c r="N110" s="93">
        <f t="shared" si="19"/>
        <v>500.8342222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9.5" customHeight="1">
      <c r="A111" s="8"/>
      <c r="B111" s="59" t="s">
        <v>207</v>
      </c>
      <c r="C111" s="92" t="s">
        <v>9</v>
      </c>
      <c r="D111" s="53" t="s">
        <v>10</v>
      </c>
      <c r="E111" s="37" t="s">
        <v>208</v>
      </c>
      <c r="F111" s="94" t="s">
        <v>128</v>
      </c>
      <c r="G111" s="94" t="s">
        <v>128</v>
      </c>
      <c r="H111" s="94" t="s">
        <v>128</v>
      </c>
      <c r="I111" s="94" t="s">
        <v>128</v>
      </c>
      <c r="J111" s="94" t="s">
        <v>128</v>
      </c>
      <c r="K111" s="94" t="s">
        <v>128</v>
      </c>
      <c r="L111" s="94" t="s">
        <v>128</v>
      </c>
      <c r="M111" s="90">
        <v>238953.0</v>
      </c>
      <c r="N111" s="95">
        <v>254102.79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96" t="s">
        <v>209</v>
      </c>
      <c r="C112" s="31"/>
      <c r="D112" s="32"/>
      <c r="E112" s="56"/>
      <c r="F112" s="33"/>
      <c r="G112" s="33"/>
      <c r="H112" s="33"/>
      <c r="I112" s="33"/>
      <c r="J112" s="33"/>
      <c r="K112" s="33"/>
      <c r="L112" s="33"/>
      <c r="M112" s="33"/>
      <c r="N112" s="33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64" t="s">
        <v>210</v>
      </c>
      <c r="C113" s="35" t="s">
        <v>9</v>
      </c>
      <c r="D113" s="53" t="s">
        <v>45</v>
      </c>
      <c r="E113" s="37" t="s">
        <v>211</v>
      </c>
      <c r="F113" s="42"/>
      <c r="G113" s="42"/>
      <c r="H113" s="42"/>
      <c r="I113" s="42"/>
      <c r="J113" s="42"/>
      <c r="K113" s="42"/>
      <c r="L113" s="42"/>
      <c r="M113" s="87">
        <v>88452.88</v>
      </c>
      <c r="N113" s="87">
        <f>'Res__400_-_Mensal_2023'!P47</f>
        <v>190836.71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30" t="s">
        <v>212</v>
      </c>
      <c r="C114" s="32"/>
      <c r="D114" s="32"/>
      <c r="E114" s="56"/>
      <c r="F114" s="33"/>
      <c r="G114" s="33"/>
      <c r="H114" s="33"/>
      <c r="I114" s="33"/>
      <c r="J114" s="33"/>
      <c r="K114" s="33"/>
      <c r="L114" s="33"/>
      <c r="M114" s="33"/>
      <c r="N114" s="33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64" t="s">
        <v>213</v>
      </c>
      <c r="C115" s="35" t="s">
        <v>9</v>
      </c>
      <c r="D115" s="53" t="s">
        <v>10</v>
      </c>
      <c r="E115" s="37" t="s">
        <v>214</v>
      </c>
      <c r="F115" s="42"/>
      <c r="G115" s="42"/>
      <c r="H115" s="42"/>
      <c r="I115" s="42"/>
      <c r="J115" s="42"/>
      <c r="K115" s="42"/>
      <c r="L115" s="42"/>
      <c r="M115" s="42">
        <v>208.0</v>
      </c>
      <c r="N115" s="42">
        <v>221.0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64" t="s">
        <v>215</v>
      </c>
      <c r="C116" s="35" t="s">
        <v>9</v>
      </c>
      <c r="D116" s="53" t="s">
        <v>10</v>
      </c>
      <c r="E116" s="37" t="s">
        <v>216</v>
      </c>
      <c r="F116" s="42"/>
      <c r="G116" s="42"/>
      <c r="H116" s="42"/>
      <c r="I116" s="42"/>
      <c r="J116" s="42"/>
      <c r="K116" s="42"/>
      <c r="L116" s="42"/>
      <c r="M116" s="42">
        <v>33.0</v>
      </c>
      <c r="N116" s="42">
        <v>57.0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64" t="s">
        <v>217</v>
      </c>
      <c r="C117" s="35" t="s">
        <v>9</v>
      </c>
      <c r="D117" s="53" t="s">
        <v>10</v>
      </c>
      <c r="E117" s="37" t="s">
        <v>218</v>
      </c>
      <c r="F117" s="42"/>
      <c r="G117" s="42"/>
      <c r="H117" s="42"/>
      <c r="I117" s="42"/>
      <c r="J117" s="42"/>
      <c r="K117" s="42"/>
      <c r="L117" s="42"/>
      <c r="M117" s="97">
        <f t="shared" ref="M117:N117" si="20">(M116/M115)</f>
        <v>0.1586538462</v>
      </c>
      <c r="N117" s="97">
        <f t="shared" si="20"/>
        <v>0.257918552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30" t="s">
        <v>219</v>
      </c>
      <c r="C118" s="31"/>
      <c r="D118" s="32"/>
      <c r="E118" s="56"/>
      <c r="F118" s="33"/>
      <c r="G118" s="33"/>
      <c r="H118" s="33"/>
      <c r="I118" s="33"/>
      <c r="J118" s="33"/>
      <c r="K118" s="33"/>
      <c r="L118" s="33"/>
      <c r="M118" s="33"/>
      <c r="N118" s="33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64" t="s">
        <v>220</v>
      </c>
      <c r="C119" s="35" t="s">
        <v>44</v>
      </c>
      <c r="D119" s="53" t="s">
        <v>10</v>
      </c>
      <c r="E119" s="37" t="s">
        <v>221</v>
      </c>
      <c r="F119" s="98">
        <v>1807.0</v>
      </c>
      <c r="G119" s="98">
        <v>2177.0</v>
      </c>
      <c r="H119" s="98">
        <v>1002.0</v>
      </c>
      <c r="I119" s="98">
        <v>1260.0</v>
      </c>
      <c r="J119" s="98">
        <v>2378.0</v>
      </c>
      <c r="K119" s="99">
        <v>2224.0</v>
      </c>
      <c r="L119" s="98">
        <v>2349.0</v>
      </c>
      <c r="M119" s="98">
        <v>2475.0</v>
      </c>
      <c r="N119" s="42">
        <f>SUM(20+2010)</f>
        <v>2030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64" t="s">
        <v>222</v>
      </c>
      <c r="C120" s="35"/>
      <c r="D120" s="53" t="s">
        <v>10</v>
      </c>
      <c r="E120" s="37" t="s">
        <v>223</v>
      </c>
      <c r="F120" s="42">
        <v>762.0</v>
      </c>
      <c r="G120" s="42">
        <v>695.0</v>
      </c>
      <c r="H120" s="42">
        <v>647.0</v>
      </c>
      <c r="I120" s="42">
        <v>859.0</v>
      </c>
      <c r="J120" s="42">
        <v>804.0</v>
      </c>
      <c r="K120" s="100">
        <v>1157.0</v>
      </c>
      <c r="L120" s="42">
        <v>1265.0</v>
      </c>
      <c r="M120" s="42">
        <v>1235.0</v>
      </c>
      <c r="N120" s="42">
        <v>1205.0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64" t="s">
        <v>224</v>
      </c>
      <c r="C121" s="35" t="s">
        <v>44</v>
      </c>
      <c r="D121" s="53" t="s">
        <v>10</v>
      </c>
      <c r="E121" s="37" t="s">
        <v>225</v>
      </c>
      <c r="F121" s="42">
        <v>4.0</v>
      </c>
      <c r="G121" s="42">
        <v>7.0</v>
      </c>
      <c r="H121" s="42">
        <v>4.0</v>
      </c>
      <c r="I121" s="42">
        <v>4.0</v>
      </c>
      <c r="J121" s="42">
        <v>13.0</v>
      </c>
      <c r="K121" s="100">
        <v>14.0</v>
      </c>
      <c r="L121" s="42">
        <v>16.0</v>
      </c>
      <c r="M121" s="42">
        <f>24+3-1</f>
        <v>26</v>
      </c>
      <c r="N121" s="42">
        <v>25.0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64" t="s">
        <v>226</v>
      </c>
      <c r="C122" s="35" t="s">
        <v>44</v>
      </c>
      <c r="D122" s="53" t="s">
        <v>10</v>
      </c>
      <c r="E122" s="37" t="s">
        <v>227</v>
      </c>
      <c r="F122" s="42" t="s">
        <v>41</v>
      </c>
      <c r="G122" s="42">
        <v>74.0</v>
      </c>
      <c r="H122" s="42">
        <v>74.0</v>
      </c>
      <c r="I122" s="42">
        <v>62.0</v>
      </c>
      <c r="J122" s="42">
        <v>460.0</v>
      </c>
      <c r="K122" s="100">
        <v>0.0</v>
      </c>
      <c r="L122" s="42">
        <v>12.0</v>
      </c>
      <c r="M122" s="42">
        <v>212.0</v>
      </c>
      <c r="N122" s="42">
        <v>235.0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64" t="s">
        <v>228</v>
      </c>
      <c r="C123" s="35" t="s">
        <v>44</v>
      </c>
      <c r="D123" s="53" t="s">
        <v>10</v>
      </c>
      <c r="E123" s="37" t="s">
        <v>229</v>
      </c>
      <c r="F123" s="42">
        <v>4.0</v>
      </c>
      <c r="G123" s="42">
        <v>1.0</v>
      </c>
      <c r="H123" s="42">
        <v>1.0</v>
      </c>
      <c r="I123" s="42">
        <v>1.0</v>
      </c>
      <c r="J123" s="42">
        <v>2.0</v>
      </c>
      <c r="K123" s="100">
        <v>1.0</v>
      </c>
      <c r="L123" s="42">
        <v>3.0</v>
      </c>
      <c r="M123" s="42">
        <v>2.0</v>
      </c>
      <c r="N123" s="98">
        <v>3.0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64" t="s">
        <v>230</v>
      </c>
      <c r="C124" s="35" t="s">
        <v>44</v>
      </c>
      <c r="D124" s="53" t="s">
        <v>10</v>
      </c>
      <c r="E124" s="37" t="s">
        <v>231</v>
      </c>
      <c r="F124" s="63">
        <f t="shared" ref="F124:K124" si="21">(F119/(F21*F121))*100</f>
        <v>81.25</v>
      </c>
      <c r="G124" s="63">
        <f t="shared" si="21"/>
        <v>37.83454988</v>
      </c>
      <c r="H124" s="63">
        <f t="shared" si="21"/>
        <v>28.49829352</v>
      </c>
      <c r="I124" s="63">
        <f t="shared" si="21"/>
        <v>38.04347826</v>
      </c>
      <c r="J124" s="63">
        <f t="shared" si="21"/>
        <v>19.88294314</v>
      </c>
      <c r="K124" s="63">
        <f t="shared" si="21"/>
        <v>17.70982641</v>
      </c>
      <c r="L124" s="63">
        <v>6.02346805736636</v>
      </c>
      <c r="M124" s="63">
        <f t="shared" ref="M124:N124" si="22">(M119/(M21*M121))*100</f>
        <v>11.62299239</v>
      </c>
      <c r="N124" s="63">
        <f t="shared" si="22"/>
        <v>8.972375691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64" t="s">
        <v>232</v>
      </c>
      <c r="C125" s="35" t="s">
        <v>44</v>
      </c>
      <c r="D125" s="53" t="s">
        <v>10</v>
      </c>
      <c r="E125" s="37" t="s">
        <v>233</v>
      </c>
      <c r="F125" s="63">
        <v>0.0</v>
      </c>
      <c r="G125" s="63">
        <f t="shared" ref="G125:K125" si="23">(G122/(G21*G123))*100</f>
        <v>9.00243309</v>
      </c>
      <c r="H125" s="63">
        <f t="shared" si="23"/>
        <v>8.418657565</v>
      </c>
      <c r="I125" s="63">
        <f t="shared" si="23"/>
        <v>7.487922705</v>
      </c>
      <c r="J125" s="63">
        <f t="shared" si="23"/>
        <v>25</v>
      </c>
      <c r="K125" s="101">
        <f t="shared" si="23"/>
        <v>0</v>
      </c>
      <c r="L125" s="63">
        <v>0.4519774011299435</v>
      </c>
      <c r="M125" s="63">
        <f t="shared" ref="M125:N125" si="24">(M122/(M21*M123))*100</f>
        <v>12.94261294</v>
      </c>
      <c r="N125" s="63">
        <f t="shared" si="24"/>
        <v>8.655616943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30" t="s">
        <v>234</v>
      </c>
      <c r="C126" s="31"/>
      <c r="D126" s="32"/>
      <c r="E126" s="56"/>
      <c r="F126" s="33"/>
      <c r="G126" s="33"/>
      <c r="H126" s="33"/>
      <c r="I126" s="33"/>
      <c r="J126" s="33"/>
      <c r="K126" s="33"/>
      <c r="L126" s="33"/>
      <c r="M126" s="33"/>
      <c r="N126" s="33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64" t="s">
        <v>235</v>
      </c>
      <c r="C127" s="35" t="s">
        <v>44</v>
      </c>
      <c r="D127" s="53" t="s">
        <v>10</v>
      </c>
      <c r="E127" s="37" t="s">
        <v>236</v>
      </c>
      <c r="F127" s="42">
        <v>3.0</v>
      </c>
      <c r="G127" s="42">
        <v>3.0</v>
      </c>
      <c r="H127" s="42">
        <v>0.0</v>
      </c>
      <c r="I127" s="42">
        <v>0.0</v>
      </c>
      <c r="J127" s="42">
        <v>0.0</v>
      </c>
      <c r="K127" s="100">
        <v>1.0</v>
      </c>
      <c r="L127" s="42">
        <v>11.0</v>
      </c>
      <c r="M127" s="42">
        <v>11.0</v>
      </c>
      <c r="N127" s="42">
        <v>6.0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64" t="s">
        <v>237</v>
      </c>
      <c r="C128" s="35" t="s">
        <v>9</v>
      </c>
      <c r="D128" s="53" t="s">
        <v>10</v>
      </c>
      <c r="E128" s="37" t="s">
        <v>238</v>
      </c>
      <c r="F128" s="42">
        <v>0.0</v>
      </c>
      <c r="G128" s="42">
        <v>0.0</v>
      </c>
      <c r="H128" s="42">
        <v>0.0</v>
      </c>
      <c r="I128" s="42">
        <v>0.0</v>
      </c>
      <c r="J128" s="42">
        <v>0.0</v>
      </c>
      <c r="K128" s="100">
        <v>1.0</v>
      </c>
      <c r="L128" s="42">
        <v>60.0</v>
      </c>
      <c r="M128" s="42">
        <v>103.0</v>
      </c>
      <c r="N128" s="42">
        <v>213.0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41" t="s">
        <v>239</v>
      </c>
      <c r="C129" s="35" t="s">
        <v>44</v>
      </c>
      <c r="D129" s="53" t="s">
        <v>10</v>
      </c>
      <c r="E129" s="37" t="s">
        <v>240</v>
      </c>
      <c r="F129" s="42">
        <v>45.0</v>
      </c>
      <c r="G129" s="42">
        <v>150.0</v>
      </c>
      <c r="H129" s="42">
        <v>0.0</v>
      </c>
      <c r="I129" s="42">
        <v>0.0</v>
      </c>
      <c r="J129" s="42">
        <v>0.0</v>
      </c>
      <c r="K129" s="100">
        <v>7.0</v>
      </c>
      <c r="L129" s="42">
        <v>769.0</v>
      </c>
      <c r="M129" s="42">
        <v>652.0</v>
      </c>
      <c r="N129" s="42">
        <v>621.0</v>
      </c>
      <c r="O129" s="8"/>
      <c r="P129" s="102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103" t="s">
        <v>241</v>
      </c>
      <c r="C130" s="104" t="s">
        <v>44</v>
      </c>
      <c r="D130" s="36" t="s">
        <v>10</v>
      </c>
      <c r="E130" s="105" t="s">
        <v>242</v>
      </c>
      <c r="F130" s="106">
        <f t="shared" ref="F130:G130" si="25">F129/(F21*F127)*100</f>
        <v>2.697841727</v>
      </c>
      <c r="G130" s="106">
        <f t="shared" si="25"/>
        <v>6.082725061</v>
      </c>
      <c r="H130" s="107"/>
      <c r="I130" s="107"/>
      <c r="J130" s="107"/>
      <c r="K130" s="106">
        <f>K129/(K21*K127)*100</f>
        <v>0.7803790412</v>
      </c>
      <c r="L130" s="106">
        <v>7.899332306111967</v>
      </c>
      <c r="M130" s="63">
        <v>7.237207237207237</v>
      </c>
      <c r="N130" s="63">
        <f>N129/(N21*N127)*100</f>
        <v>11.43646409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9"/>
      <c r="C131" s="10"/>
      <c r="D131" s="15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9"/>
      <c r="C132" s="10"/>
      <c r="D132" s="15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9"/>
      <c r="C133" s="10"/>
      <c r="D133" s="15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9"/>
      <c r="C134" s="10"/>
      <c r="D134" s="15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9"/>
      <c r="C135" s="10"/>
      <c r="D135" s="15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9"/>
      <c r="C136" s="10"/>
      <c r="D136" s="15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9"/>
      <c r="C137" s="10"/>
      <c r="D137" s="15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9"/>
      <c r="C138" s="10"/>
      <c r="D138" s="15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9"/>
      <c r="C139" s="10"/>
      <c r="D139" s="15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9"/>
      <c r="C140" s="10"/>
      <c r="D140" s="15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9"/>
      <c r="C141" s="10"/>
      <c r="D141" s="1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9"/>
      <c r="C142" s="10"/>
      <c r="D142" s="15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9"/>
      <c r="C143" s="10"/>
      <c r="D143" s="15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9"/>
      <c r="C144" s="10"/>
      <c r="D144" s="15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9"/>
      <c r="C145" s="10"/>
      <c r="D145" s="15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9"/>
      <c r="C146" s="10"/>
      <c r="D146" s="15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9"/>
      <c r="C147" s="10"/>
      <c r="D147" s="15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9"/>
      <c r="C148" s="10"/>
      <c r="D148" s="15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9"/>
      <c r="C149" s="10"/>
      <c r="D149" s="15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9"/>
      <c r="C150" s="10"/>
      <c r="D150" s="15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9"/>
      <c r="C151" s="10"/>
      <c r="D151" s="15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9"/>
      <c r="C152" s="10"/>
      <c r="D152" s="15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9"/>
      <c r="C153" s="10"/>
      <c r="D153" s="15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9"/>
      <c r="C154" s="10"/>
      <c r="D154" s="15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9"/>
      <c r="C155" s="10"/>
      <c r="D155" s="15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9"/>
      <c r="C156" s="10"/>
      <c r="D156" s="15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9"/>
      <c r="C157" s="10"/>
      <c r="D157" s="15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9"/>
      <c r="C158" s="10"/>
      <c r="D158" s="15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9"/>
      <c r="C159" s="10"/>
      <c r="D159" s="15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9"/>
      <c r="C160" s="10"/>
      <c r="D160" s="15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9"/>
      <c r="C161" s="10"/>
      <c r="D161" s="15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9"/>
      <c r="C162" s="10"/>
      <c r="D162" s="15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9"/>
      <c r="C163" s="10"/>
      <c r="D163" s="15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9"/>
      <c r="C164" s="10"/>
      <c r="D164" s="15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9"/>
      <c r="C165" s="10"/>
      <c r="D165" s="15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9"/>
      <c r="C166" s="10"/>
      <c r="D166" s="15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9"/>
      <c r="C167" s="10"/>
      <c r="D167" s="15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9"/>
      <c r="C168" s="10"/>
      <c r="D168" s="15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9"/>
      <c r="C169" s="10"/>
      <c r="D169" s="15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9"/>
      <c r="C170" s="10"/>
      <c r="D170" s="15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9"/>
      <c r="C171" s="10"/>
      <c r="D171" s="15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9"/>
      <c r="C172" s="10"/>
      <c r="D172" s="15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9"/>
      <c r="C173" s="10"/>
      <c r="D173" s="15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9"/>
      <c r="C174" s="10"/>
      <c r="D174" s="15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9"/>
      <c r="C175" s="10"/>
      <c r="D175" s="15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9"/>
      <c r="C176" s="10"/>
      <c r="D176" s="15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9"/>
      <c r="C177" s="10"/>
      <c r="D177" s="15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9"/>
      <c r="C178" s="10"/>
      <c r="D178" s="15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9"/>
      <c r="C179" s="10"/>
      <c r="D179" s="15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9"/>
      <c r="C180" s="10"/>
      <c r="D180" s="15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9"/>
      <c r="C181" s="10"/>
      <c r="D181" s="15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9"/>
      <c r="C182" s="10"/>
      <c r="D182" s="15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9"/>
      <c r="C183" s="10"/>
      <c r="D183" s="15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9"/>
      <c r="C184" s="10"/>
      <c r="D184" s="15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9"/>
      <c r="C185" s="10"/>
      <c r="D185" s="15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9"/>
      <c r="C186" s="10"/>
      <c r="D186" s="15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9"/>
      <c r="C187" s="10"/>
      <c r="D187" s="15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9"/>
      <c r="C188" s="10"/>
      <c r="D188" s="15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9"/>
      <c r="C189" s="10"/>
      <c r="D189" s="15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9"/>
      <c r="C190" s="10"/>
      <c r="D190" s="15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9"/>
      <c r="C191" s="10"/>
      <c r="D191" s="15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9"/>
      <c r="C192" s="10"/>
      <c r="D192" s="1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9"/>
      <c r="C193" s="10"/>
      <c r="D193" s="15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9"/>
      <c r="C194" s="10"/>
      <c r="D194" s="15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9"/>
      <c r="C195" s="10"/>
      <c r="D195" s="15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9"/>
      <c r="C196" s="10"/>
      <c r="D196" s="15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9"/>
      <c r="C197" s="10"/>
      <c r="D197" s="15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9"/>
      <c r="C198" s="10"/>
      <c r="D198" s="15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9"/>
      <c r="C199" s="10"/>
      <c r="D199" s="15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9"/>
      <c r="C200" s="10"/>
      <c r="D200" s="15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9"/>
      <c r="C201" s="10"/>
      <c r="D201" s="15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9"/>
      <c r="C202" s="10"/>
      <c r="D202" s="15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9"/>
      <c r="C203" s="10"/>
      <c r="D203" s="15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9"/>
      <c r="C204" s="10"/>
      <c r="D204" s="15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9"/>
      <c r="C205" s="10"/>
      <c r="D205" s="15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9"/>
      <c r="C206" s="10"/>
      <c r="D206" s="15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9"/>
      <c r="C207" s="10"/>
      <c r="D207" s="15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9"/>
      <c r="C208" s="10"/>
      <c r="D208" s="15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9"/>
      <c r="C209" s="10"/>
      <c r="D209" s="15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9"/>
      <c r="C210" s="10"/>
      <c r="D210" s="15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9"/>
      <c r="C211" s="10"/>
      <c r="D211" s="15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9"/>
      <c r="C212" s="10"/>
      <c r="D212" s="15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9"/>
      <c r="C213" s="10"/>
      <c r="D213" s="15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9"/>
      <c r="C214" s="10"/>
      <c r="D214" s="15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9"/>
      <c r="C215" s="10"/>
      <c r="D215" s="15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9"/>
      <c r="C216" s="10"/>
      <c r="D216" s="15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9"/>
      <c r="C217" s="10"/>
      <c r="D217" s="15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9"/>
      <c r="C218" s="10"/>
      <c r="D218" s="15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9"/>
      <c r="C219" s="10"/>
      <c r="D219" s="15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9"/>
      <c r="C220" s="10"/>
      <c r="D220" s="15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9"/>
      <c r="C221" s="10"/>
      <c r="D221" s="15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9"/>
      <c r="C222" s="10"/>
      <c r="D222" s="15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9"/>
      <c r="C223" s="10"/>
      <c r="D223" s="15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9"/>
      <c r="C224" s="10"/>
      <c r="D224" s="15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9"/>
      <c r="C225" s="10"/>
      <c r="D225" s="15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9"/>
      <c r="C226" s="10"/>
      <c r="D226" s="15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9"/>
      <c r="C227" s="10"/>
      <c r="D227" s="15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9"/>
      <c r="C228" s="10"/>
      <c r="D228" s="15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9"/>
      <c r="C229" s="10"/>
      <c r="D229" s="15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9"/>
      <c r="C230" s="10"/>
      <c r="D230" s="15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9"/>
      <c r="C231" s="10"/>
      <c r="D231" s="15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9"/>
      <c r="C232" s="10"/>
      <c r="D232" s="15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9"/>
      <c r="C233" s="10"/>
      <c r="D233" s="15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9"/>
      <c r="C234" s="10"/>
      <c r="D234" s="15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9"/>
      <c r="C235" s="10"/>
      <c r="D235" s="15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9"/>
      <c r="C236" s="10"/>
      <c r="D236" s="15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9"/>
      <c r="C237" s="10"/>
      <c r="D237" s="15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9"/>
      <c r="C238" s="10"/>
      <c r="D238" s="15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9"/>
      <c r="C239" s="10"/>
      <c r="D239" s="15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9"/>
      <c r="C240" s="10"/>
      <c r="D240" s="15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9"/>
      <c r="C241" s="10"/>
      <c r="D241" s="15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9"/>
      <c r="C242" s="10"/>
      <c r="D242" s="15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9"/>
      <c r="C243" s="10"/>
      <c r="D243" s="15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9"/>
      <c r="C244" s="10"/>
      <c r="D244" s="15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9"/>
      <c r="C245" s="10"/>
      <c r="D245" s="15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9"/>
      <c r="C246" s="10"/>
      <c r="D246" s="15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9"/>
      <c r="C247" s="10"/>
      <c r="D247" s="15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9"/>
      <c r="C248" s="10"/>
      <c r="D248" s="15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9"/>
      <c r="C249" s="10"/>
      <c r="D249" s="15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9"/>
      <c r="C250" s="10"/>
      <c r="D250" s="15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9"/>
      <c r="C251" s="10"/>
      <c r="D251" s="15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9"/>
      <c r="C252" s="10"/>
      <c r="D252" s="15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9"/>
      <c r="C253" s="10"/>
      <c r="D253" s="15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9"/>
      <c r="C254" s="10"/>
      <c r="D254" s="15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9"/>
      <c r="C255" s="10"/>
      <c r="D255" s="15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9"/>
      <c r="C256" s="10"/>
      <c r="D256" s="15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9"/>
      <c r="C257" s="10"/>
      <c r="D257" s="15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9"/>
      <c r="C258" s="10"/>
      <c r="D258" s="15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9"/>
      <c r="C259" s="10"/>
      <c r="D259" s="15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9"/>
      <c r="C260" s="10"/>
      <c r="D260" s="15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9"/>
      <c r="C261" s="10"/>
      <c r="D261" s="15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9"/>
      <c r="C262" s="10"/>
      <c r="D262" s="15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9"/>
      <c r="C263" s="10"/>
      <c r="D263" s="15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9"/>
      <c r="C264" s="10"/>
      <c r="D264" s="15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9"/>
      <c r="C265" s="10"/>
      <c r="D265" s="15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9"/>
      <c r="C266" s="10"/>
      <c r="D266" s="15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9"/>
      <c r="C267" s="10"/>
      <c r="D267" s="15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9"/>
      <c r="C268" s="10"/>
      <c r="D268" s="15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9"/>
      <c r="C269" s="10"/>
      <c r="D269" s="15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9"/>
      <c r="C270" s="10"/>
      <c r="D270" s="15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9"/>
      <c r="C271" s="10"/>
      <c r="D271" s="15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9"/>
      <c r="C272" s="10"/>
      <c r="D272" s="15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9"/>
      <c r="C273" s="10"/>
      <c r="D273" s="15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9"/>
      <c r="C274" s="10"/>
      <c r="D274" s="15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9"/>
      <c r="C275" s="10"/>
      <c r="D275" s="15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9"/>
      <c r="C276" s="10"/>
      <c r="D276" s="15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9"/>
      <c r="C277" s="10"/>
      <c r="D277" s="15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9"/>
      <c r="C278" s="10"/>
      <c r="D278" s="15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9"/>
      <c r="C279" s="10"/>
      <c r="D279" s="15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9"/>
      <c r="C280" s="10"/>
      <c r="D280" s="15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9"/>
      <c r="C281" s="10"/>
      <c r="D281" s="15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9"/>
      <c r="C282" s="10"/>
      <c r="D282" s="15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9"/>
      <c r="C283" s="10"/>
      <c r="D283" s="15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9"/>
      <c r="C284" s="10"/>
      <c r="D284" s="15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9"/>
      <c r="C285" s="10"/>
      <c r="D285" s="15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9"/>
      <c r="C286" s="10"/>
      <c r="D286" s="15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9"/>
      <c r="C287" s="10"/>
      <c r="D287" s="15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9"/>
      <c r="C288" s="10"/>
      <c r="D288" s="15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9"/>
      <c r="C289" s="10"/>
      <c r="D289" s="15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9"/>
      <c r="C290" s="10"/>
      <c r="D290" s="15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9"/>
      <c r="C291" s="10"/>
      <c r="D291" s="15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9"/>
      <c r="C292" s="10"/>
      <c r="D292" s="15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9"/>
      <c r="C293" s="10"/>
      <c r="D293" s="15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9"/>
      <c r="C294" s="10"/>
      <c r="D294" s="15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9"/>
      <c r="C295" s="10"/>
      <c r="D295" s="15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9"/>
      <c r="C296" s="10"/>
      <c r="D296" s="15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9"/>
      <c r="C297" s="10"/>
      <c r="D297" s="15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9"/>
      <c r="C298" s="10"/>
      <c r="D298" s="15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9"/>
      <c r="C299" s="10"/>
      <c r="D299" s="15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9"/>
      <c r="C300" s="10"/>
      <c r="D300" s="15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9"/>
      <c r="C301" s="10"/>
      <c r="D301" s="15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9"/>
      <c r="C302" s="10"/>
      <c r="D302" s="15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9"/>
      <c r="C303" s="10"/>
      <c r="D303" s="15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9"/>
      <c r="C304" s="10"/>
      <c r="D304" s="15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9"/>
      <c r="C305" s="10"/>
      <c r="D305" s="15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9"/>
      <c r="C306" s="10"/>
      <c r="D306" s="15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9"/>
      <c r="C307" s="10"/>
      <c r="D307" s="15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9"/>
      <c r="C308" s="10"/>
      <c r="D308" s="15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9"/>
      <c r="C309" s="10"/>
      <c r="D309" s="15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9"/>
      <c r="C310" s="10"/>
      <c r="D310" s="15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9"/>
      <c r="C311" s="10"/>
      <c r="D311" s="15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9"/>
      <c r="C312" s="10"/>
      <c r="D312" s="15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9"/>
      <c r="C313" s="10"/>
      <c r="D313" s="15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9"/>
      <c r="C314" s="10"/>
      <c r="D314" s="15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9"/>
      <c r="C315" s="10"/>
      <c r="D315" s="15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9"/>
      <c r="C316" s="10"/>
      <c r="D316" s="15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9"/>
      <c r="C317" s="10"/>
      <c r="D317" s="15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9"/>
      <c r="C318" s="10"/>
      <c r="D318" s="15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9"/>
      <c r="C319" s="10"/>
      <c r="D319" s="15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9"/>
      <c r="C320" s="10"/>
      <c r="D320" s="15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9"/>
      <c r="C321" s="10"/>
      <c r="D321" s="15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9"/>
      <c r="C322" s="10"/>
      <c r="D322" s="15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9"/>
      <c r="C323" s="10"/>
      <c r="D323" s="15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9"/>
      <c r="C324" s="10"/>
      <c r="D324" s="15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9"/>
      <c r="C325" s="10"/>
      <c r="D325" s="15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9"/>
      <c r="C326" s="10"/>
      <c r="D326" s="15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9"/>
      <c r="C327" s="10"/>
      <c r="D327" s="15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9"/>
      <c r="C328" s="10"/>
      <c r="D328" s="15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9"/>
      <c r="C329" s="10"/>
      <c r="D329" s="15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9"/>
      <c r="C330" s="10"/>
      <c r="D330" s="15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autoFilter ref="$C$6:$C$130"/>
  <mergeCells count="4">
    <mergeCell ref="B4:B5"/>
    <mergeCell ref="C4:C5"/>
    <mergeCell ref="E4:E5"/>
    <mergeCell ref="G4:M4"/>
  </mergeCells>
  <conditionalFormatting sqref="B108">
    <cfRule type="cellIs" dxfId="0" priority="1" stopIfTrue="1" operator="equal">
      <formula>"nd"</formula>
    </cfRule>
  </conditionalFormatting>
  <conditionalFormatting sqref="B105:B108">
    <cfRule type="cellIs" dxfId="0" priority="2" stopIfTrue="1" operator="equal">
      <formula>"nd"</formula>
    </cfRule>
  </conditionalFormatting>
  <dataValidations>
    <dataValidation type="list" allowBlank="1" sqref="D8:D22 D24:D26 D28:D29 D31:D36 D38:D41 D43:D48 D50:D55 D57:D60 D62:D73 D75:D76 D78:D81 D83:D87 D89:D103 D105:D111 D113 D115:D117 D119:D125 D127:D130">
      <formula1>DADOS_LISTA!$C$2:$C$3</formula1>
    </dataValidation>
    <dataValidation type="list" allowBlank="1" showErrorMessage="1" sqref="D2:E2">
      <formula1>TRIBUNAIS</formula1>
    </dataValidation>
    <dataValidation type="list" allowBlank="1" sqref="C8:C22 C24:C26 C28:C29 C31:C36 C38:C41 C43:C48 C50:C55 C57:C60 C62:C73 C75:C76 C78:C81 C83:C87 C89:C103 C105:C113 C115:C117 C119:C125 C127:C130">
      <formula1>DADOS_LISTA!$A$2:$A$4</formula1>
    </dataValidation>
  </dataValidations>
  <printOptions/>
  <pageMargins bottom="0.78740157480315" footer="0.0" header="0.0" left="0.511811023622047" right="0.511811023622047" top="0.7874015748031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2.29"/>
    <col customWidth="1" min="3" max="3" width="83.86"/>
    <col customWidth="1" min="4" max="4" width="16.57"/>
    <col customWidth="1" min="5" max="5" width="11.29"/>
    <col customWidth="1" min="6" max="8" width="12.29"/>
    <col customWidth="1" min="9" max="10" width="12.43"/>
    <col customWidth="1" min="11" max="11" width="11.43"/>
    <col customWidth="1" min="12" max="12" width="13.57"/>
    <col customWidth="1" min="13" max="13" width="13.29"/>
    <col customWidth="1" min="14" max="14" width="13.14"/>
    <col customWidth="1" min="15" max="15" width="14.71"/>
    <col customWidth="1" min="16" max="16" width="14.57"/>
  </cols>
  <sheetData>
    <row r="1">
      <c r="A1" s="8"/>
      <c r="B1" s="108" t="s">
        <v>0</v>
      </c>
      <c r="C1" s="109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/>
      <c r="P1" s="113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8"/>
      <c r="B2" s="114" t="s">
        <v>243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2"/>
      <c r="P2" s="115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116"/>
      <c r="B3" s="117" t="s">
        <v>3</v>
      </c>
      <c r="C3" s="117" t="s">
        <v>5</v>
      </c>
      <c r="D3" s="118">
        <v>2023.0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P3" s="121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16"/>
      <c r="B4" s="122"/>
      <c r="C4" s="122"/>
      <c r="D4" s="123" t="s">
        <v>244</v>
      </c>
      <c r="E4" s="123" t="s">
        <v>245</v>
      </c>
      <c r="F4" s="123" t="s">
        <v>246</v>
      </c>
      <c r="G4" s="123" t="s">
        <v>247</v>
      </c>
      <c r="H4" s="123" t="s">
        <v>248</v>
      </c>
      <c r="I4" s="123" t="s">
        <v>249</v>
      </c>
      <c r="J4" s="123" t="s">
        <v>250</v>
      </c>
      <c r="K4" s="123" t="s">
        <v>251</v>
      </c>
      <c r="L4" s="123" t="s">
        <v>252</v>
      </c>
      <c r="M4" s="123" t="s">
        <v>253</v>
      </c>
      <c r="N4" s="123" t="s">
        <v>254</v>
      </c>
      <c r="O4" s="123" t="s">
        <v>255</v>
      </c>
      <c r="P4" s="124" t="s">
        <v>256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8"/>
      <c r="B5" s="125" t="s">
        <v>42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09"/>
      <c r="P5" s="127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8"/>
      <c r="B6" s="128" t="s">
        <v>43</v>
      </c>
      <c r="C6" s="128" t="s">
        <v>257</v>
      </c>
      <c r="D6" s="129">
        <v>111.0</v>
      </c>
      <c r="E6" s="130">
        <v>75.0</v>
      </c>
      <c r="F6" s="130">
        <v>143.0</v>
      </c>
      <c r="G6" s="130">
        <v>44.0</v>
      </c>
      <c r="H6" s="130">
        <v>211.0</v>
      </c>
      <c r="I6" s="130">
        <v>62.0</v>
      </c>
      <c r="J6" s="130">
        <v>48.0</v>
      </c>
      <c r="K6" s="130">
        <v>116.0</v>
      </c>
      <c r="L6" s="130">
        <v>92.0</v>
      </c>
      <c r="M6" s="130">
        <v>129.0</v>
      </c>
      <c r="N6" s="130">
        <v>37.0</v>
      </c>
      <c r="O6" s="130">
        <v>0.0</v>
      </c>
      <c r="P6" s="131">
        <f t="shared" ref="P6:P8" si="1">SUM(D6:O6)</f>
        <v>1068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8"/>
      <c r="B7" s="128" t="s">
        <v>258</v>
      </c>
      <c r="C7" s="128" t="s">
        <v>259</v>
      </c>
      <c r="D7" s="132">
        <v>2714.91</v>
      </c>
      <c r="E7" s="133">
        <v>1722.66</v>
      </c>
      <c r="F7" s="133">
        <v>3452.94</v>
      </c>
      <c r="G7" s="133">
        <v>1063.92</v>
      </c>
      <c r="H7" s="133">
        <v>5100.3</v>
      </c>
      <c r="I7" s="133">
        <v>1915.41</v>
      </c>
      <c r="J7" s="134">
        <v>1202.13</v>
      </c>
      <c r="K7" s="133">
        <v>2804.46</v>
      </c>
      <c r="L7" s="133">
        <v>2224.35</v>
      </c>
      <c r="M7" s="133">
        <v>3118.77</v>
      </c>
      <c r="N7" s="133">
        <v>894.66</v>
      </c>
      <c r="O7" s="133">
        <v>0.0</v>
      </c>
      <c r="P7" s="135">
        <f t="shared" si="1"/>
        <v>26214.51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ht="15.0" customHeight="1">
      <c r="A8" s="8"/>
      <c r="B8" s="128" t="s">
        <v>260</v>
      </c>
      <c r="C8" s="128" t="s">
        <v>261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 t="s">
        <v>102</v>
      </c>
      <c r="P8" s="131">
        <f t="shared" si="1"/>
        <v>0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8"/>
      <c r="B9" s="136" t="s">
        <v>262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09"/>
      <c r="P9" s="127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8"/>
      <c r="B10" s="128" t="s">
        <v>52</v>
      </c>
      <c r="C10" s="128" t="s">
        <v>263</v>
      </c>
      <c r="D10" s="137">
        <v>53.0</v>
      </c>
      <c r="E10" s="137">
        <v>15.0</v>
      </c>
      <c r="F10" s="137">
        <v>50.0</v>
      </c>
      <c r="G10" s="138">
        <v>39.0</v>
      </c>
      <c r="H10" s="138">
        <v>48.0</v>
      </c>
      <c r="I10" s="138">
        <v>45.0</v>
      </c>
      <c r="J10" s="138">
        <v>35.0</v>
      </c>
      <c r="K10" s="138">
        <v>13.0</v>
      </c>
      <c r="L10" s="139">
        <v>0.0</v>
      </c>
      <c r="M10" s="140">
        <v>0.0</v>
      </c>
      <c r="N10" s="138">
        <v>0.0</v>
      </c>
      <c r="O10" s="138">
        <v>0.0</v>
      </c>
      <c r="P10" s="141">
        <f t="shared" ref="P10:P11" si="2">SUM(D10:O10)</f>
        <v>298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/>
      <c r="B11" s="128" t="s">
        <v>207</v>
      </c>
      <c r="C11" s="128" t="s">
        <v>264</v>
      </c>
      <c r="D11" s="142">
        <v>48.76</v>
      </c>
      <c r="E11" s="143">
        <v>13.8</v>
      </c>
      <c r="F11" s="144">
        <v>46.0</v>
      </c>
      <c r="G11" s="133">
        <v>35.88</v>
      </c>
      <c r="H11" s="133">
        <v>44.16</v>
      </c>
      <c r="I11" s="133">
        <v>41.4</v>
      </c>
      <c r="J11" s="133">
        <v>41.4</v>
      </c>
      <c r="K11" s="133">
        <v>11.96</v>
      </c>
      <c r="L11" s="133">
        <v>0.0</v>
      </c>
      <c r="M11" s="144">
        <v>0.0</v>
      </c>
      <c r="N11" s="133">
        <v>0.0</v>
      </c>
      <c r="O11" s="133">
        <v>0.0</v>
      </c>
      <c r="P11" s="135">
        <f t="shared" si="2"/>
        <v>283.36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8"/>
      <c r="B12" s="136" t="s">
        <v>265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09"/>
      <c r="P12" s="127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/>
      <c r="B13" s="145" t="s">
        <v>57</v>
      </c>
      <c r="C13" s="128" t="s">
        <v>266</v>
      </c>
      <c r="D13" s="130">
        <v>135.0</v>
      </c>
      <c r="E13" s="146">
        <v>108.0</v>
      </c>
      <c r="F13" s="146">
        <v>108.0</v>
      </c>
      <c r="G13" s="146">
        <v>108.0</v>
      </c>
      <c r="H13" s="146">
        <v>0.0</v>
      </c>
      <c r="I13" s="146">
        <v>0.0</v>
      </c>
      <c r="J13" s="146">
        <v>0.0</v>
      </c>
      <c r="K13" s="146">
        <v>0.0</v>
      </c>
      <c r="L13" s="146">
        <v>0.0</v>
      </c>
      <c r="M13" s="146">
        <v>0.0</v>
      </c>
      <c r="N13" s="146">
        <v>0.0</v>
      </c>
      <c r="O13" s="147">
        <v>0.0</v>
      </c>
      <c r="P13" s="131">
        <f t="shared" ref="P13:P18" si="3">SUM(D13:O13)</f>
        <v>459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8"/>
      <c r="B14" s="145" t="s">
        <v>60</v>
      </c>
      <c r="C14" s="128" t="s">
        <v>267</v>
      </c>
      <c r="D14" s="146">
        <v>590.0</v>
      </c>
      <c r="E14" s="146">
        <v>512.0</v>
      </c>
      <c r="F14" s="146">
        <v>512.0</v>
      </c>
      <c r="G14" s="146">
        <v>512.0</v>
      </c>
      <c r="H14" s="146">
        <v>640.0</v>
      </c>
      <c r="I14" s="146">
        <v>512.0</v>
      </c>
      <c r="J14" s="146">
        <v>150.0</v>
      </c>
      <c r="K14" s="146">
        <v>590.0</v>
      </c>
      <c r="L14" s="146">
        <v>512.0</v>
      </c>
      <c r="M14" s="146">
        <v>50.0</v>
      </c>
      <c r="N14" s="146">
        <v>512.0</v>
      </c>
      <c r="O14" s="130">
        <v>360.0</v>
      </c>
      <c r="P14" s="131">
        <f t="shared" si="3"/>
        <v>5452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8"/>
      <c r="B15" s="145" t="s">
        <v>268</v>
      </c>
      <c r="C15" s="128" t="s">
        <v>269</v>
      </c>
      <c r="D15" s="130">
        <v>725.0</v>
      </c>
      <c r="E15" s="130">
        <v>620.0</v>
      </c>
      <c r="F15" s="130">
        <v>620.0</v>
      </c>
      <c r="G15" s="130">
        <f t="shared" ref="G15:I15" si="4">SUM(G13+G14)</f>
        <v>620</v>
      </c>
      <c r="H15" s="130">
        <f t="shared" si="4"/>
        <v>640</v>
      </c>
      <c r="I15" s="130">
        <f t="shared" si="4"/>
        <v>512</v>
      </c>
      <c r="J15" s="130">
        <v>150.0</v>
      </c>
      <c r="K15" s="130">
        <f t="shared" ref="K15:M15" si="5">SUM(K13:K14)</f>
        <v>590</v>
      </c>
      <c r="L15" s="130">
        <f t="shared" si="5"/>
        <v>512</v>
      </c>
      <c r="M15" s="148">
        <f t="shared" si="5"/>
        <v>50</v>
      </c>
      <c r="N15" s="130">
        <v>512.0</v>
      </c>
      <c r="O15" s="130">
        <v>360.0</v>
      </c>
      <c r="P15" s="131">
        <f t="shared" si="3"/>
        <v>5911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/>
      <c r="B16" s="145" t="s">
        <v>270</v>
      </c>
      <c r="C16" s="128" t="s">
        <v>271</v>
      </c>
      <c r="D16" s="130">
        <v>0.0</v>
      </c>
      <c r="E16" s="130">
        <v>0.0</v>
      </c>
      <c r="F16" s="130">
        <v>4.0</v>
      </c>
      <c r="G16" s="8">
        <v>6.0</v>
      </c>
      <c r="H16" s="130">
        <v>2.0</v>
      </c>
      <c r="I16" s="130">
        <v>30.0</v>
      </c>
      <c r="J16" s="130">
        <v>6.0</v>
      </c>
      <c r="K16" s="130">
        <v>0.0</v>
      </c>
      <c r="L16" s="130">
        <v>4.0</v>
      </c>
      <c r="M16" s="130">
        <v>4.0</v>
      </c>
      <c r="N16" s="130">
        <v>0.0</v>
      </c>
      <c r="O16" s="130">
        <v>0.0</v>
      </c>
      <c r="P16" s="131">
        <f t="shared" si="3"/>
        <v>56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/>
      <c r="B17" s="145" t="s">
        <v>272</v>
      </c>
      <c r="C17" s="128" t="s">
        <v>273</v>
      </c>
      <c r="D17" s="133">
        <v>767.13</v>
      </c>
      <c r="E17" s="133">
        <v>657.7</v>
      </c>
      <c r="F17" s="133">
        <v>891.3</v>
      </c>
      <c r="G17" s="133">
        <v>900.0</v>
      </c>
      <c r="H17" s="133">
        <v>960.0</v>
      </c>
      <c r="I17" s="133">
        <v>768.0</v>
      </c>
      <c r="J17" s="133">
        <v>225.0</v>
      </c>
      <c r="K17" s="133">
        <v>885.0</v>
      </c>
      <c r="L17" s="133">
        <v>768.0</v>
      </c>
      <c r="M17" s="133">
        <v>900.0</v>
      </c>
      <c r="N17" s="133">
        <v>768.0</v>
      </c>
      <c r="O17" s="133">
        <v>540.0</v>
      </c>
      <c r="P17" s="135">
        <f t="shared" si="3"/>
        <v>9030.13</v>
      </c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/>
      <c r="B18" s="145" t="s">
        <v>274</v>
      </c>
      <c r="C18" s="145" t="s">
        <v>275</v>
      </c>
      <c r="D18" s="133"/>
      <c r="E18" s="133"/>
      <c r="F18" s="133">
        <v>41.56</v>
      </c>
      <c r="G18" s="133">
        <v>62.34</v>
      </c>
      <c r="H18" s="133">
        <v>20.78</v>
      </c>
      <c r="I18" s="133">
        <v>311.7</v>
      </c>
      <c r="J18" s="133">
        <v>62.34</v>
      </c>
      <c r="K18" s="133">
        <v>0.0</v>
      </c>
      <c r="L18" s="133">
        <v>41.56</v>
      </c>
      <c r="M18" s="133">
        <v>41.56</v>
      </c>
      <c r="N18" s="133">
        <v>0.0</v>
      </c>
      <c r="O18" s="133">
        <v>0.0</v>
      </c>
      <c r="P18" s="135">
        <f t="shared" si="3"/>
        <v>581.84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136" t="s">
        <v>70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09"/>
      <c r="P19" s="127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149" t="s">
        <v>71</v>
      </c>
      <c r="C20" s="149" t="s">
        <v>72</v>
      </c>
      <c r="D20" s="150">
        <f>46049+32397</f>
        <v>78446</v>
      </c>
      <c r="E20" s="138">
        <f>26435+64429</f>
        <v>90864</v>
      </c>
      <c r="F20" s="138">
        <f>117601+49048</f>
        <v>166649</v>
      </c>
      <c r="G20" s="138">
        <f>51795+23184</f>
        <v>74979</v>
      </c>
      <c r="H20" s="138">
        <f>49731+281497</f>
        <v>331228</v>
      </c>
      <c r="I20" s="138">
        <f>51550+74390</f>
        <v>125940</v>
      </c>
      <c r="J20" s="138">
        <f>5177+28253</f>
        <v>33430</v>
      </c>
      <c r="K20" s="138">
        <f>53408+55952</f>
        <v>109360</v>
      </c>
      <c r="L20" s="138">
        <f>87568+52785</f>
        <v>140353</v>
      </c>
      <c r="M20" s="138">
        <v>173641.0</v>
      </c>
      <c r="N20" s="138">
        <f>SUM(89852+53768)</f>
        <v>143620</v>
      </c>
      <c r="O20" s="141">
        <f>SUM(47865+50128)</f>
        <v>97993</v>
      </c>
      <c r="P20" s="141">
        <f>SUM(D20:O20)</f>
        <v>1566503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8"/>
      <c r="B21" s="136" t="s">
        <v>276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09"/>
      <c r="P21" s="127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/>
      <c r="B22" s="128" t="s">
        <v>277</v>
      </c>
      <c r="C22" s="128" t="s">
        <v>94</v>
      </c>
      <c r="D22" s="130">
        <v>102381.0</v>
      </c>
      <c r="E22" s="130">
        <v>113807.0</v>
      </c>
      <c r="F22" s="130">
        <v>136234.0</v>
      </c>
      <c r="G22" s="130">
        <v>129664.0</v>
      </c>
      <c r="H22" s="130">
        <v>115173.0</v>
      </c>
      <c r="I22" s="130">
        <v>128221.0</v>
      </c>
      <c r="J22" s="130">
        <v>115497.0</v>
      </c>
      <c r="K22" s="130">
        <v>110982.0</v>
      </c>
      <c r="L22" s="130">
        <v>137282.0</v>
      </c>
      <c r="M22" s="130">
        <v>158999.0</v>
      </c>
      <c r="N22" s="130">
        <v>106576.0</v>
      </c>
      <c r="O22" s="130">
        <v>167938.0</v>
      </c>
      <c r="P22" s="131">
        <f t="shared" ref="P22:P23" si="6">SUM(D22:O22)</f>
        <v>1522754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/>
      <c r="B23" s="128" t="s">
        <v>278</v>
      </c>
      <c r="C23" s="128" t="s">
        <v>98</v>
      </c>
      <c r="D23" s="151">
        <v>92875.06</v>
      </c>
      <c r="E23" s="130">
        <v>103304.61</v>
      </c>
      <c r="F23" s="133">
        <v>114380.78</v>
      </c>
      <c r="G23" s="133">
        <v>114780.71</v>
      </c>
      <c r="H23" s="133">
        <v>106342.3</v>
      </c>
      <c r="I23" s="133">
        <v>116208.6</v>
      </c>
      <c r="J23" s="133">
        <v>105324.39</v>
      </c>
      <c r="K23" s="133">
        <v>98850.48</v>
      </c>
      <c r="L23" s="133">
        <v>124099.58</v>
      </c>
      <c r="M23" s="133">
        <v>146180.1</v>
      </c>
      <c r="N23" s="133">
        <v>151209.72</v>
      </c>
      <c r="O23" s="133">
        <v>167666.23</v>
      </c>
      <c r="P23" s="135">
        <f t="shared" si="6"/>
        <v>1441222.56</v>
      </c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/>
      <c r="B24" s="136" t="s">
        <v>279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09"/>
      <c r="P24" s="127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/>
      <c r="B25" s="128" t="s">
        <v>105</v>
      </c>
      <c r="C25" s="128" t="s">
        <v>106</v>
      </c>
      <c r="D25" s="152">
        <v>733.0</v>
      </c>
      <c r="E25" s="153">
        <v>848.0</v>
      </c>
      <c r="F25" s="130">
        <v>907.0</v>
      </c>
      <c r="G25" s="130">
        <v>702.0</v>
      </c>
      <c r="H25" s="130">
        <v>765.0</v>
      </c>
      <c r="I25" s="130">
        <v>1069.0</v>
      </c>
      <c r="J25" s="130">
        <v>1123.0</v>
      </c>
      <c r="K25" s="130">
        <v>1114.0</v>
      </c>
      <c r="L25" s="130">
        <v>1056.0</v>
      </c>
      <c r="M25" s="130">
        <v>1090.0</v>
      </c>
      <c r="N25" s="130">
        <v>953.0</v>
      </c>
      <c r="O25" s="130">
        <v>1875.0</v>
      </c>
      <c r="P25" s="131">
        <f t="shared" ref="P25:P26" si="7">SUM(D25:O25)</f>
        <v>12235</v>
      </c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/>
      <c r="B26" s="128" t="s">
        <v>280</v>
      </c>
      <c r="C26" s="128" t="s">
        <v>281</v>
      </c>
      <c r="D26" s="132">
        <v>22804.58</v>
      </c>
      <c r="E26" s="153">
        <v>26452.38</v>
      </c>
      <c r="F26" s="133">
        <v>28048.96</v>
      </c>
      <c r="G26" s="133">
        <v>21528.72</v>
      </c>
      <c r="H26" s="133">
        <v>23819.62</v>
      </c>
      <c r="I26" s="133">
        <v>33169.96</v>
      </c>
      <c r="J26" s="133">
        <v>34991.78</v>
      </c>
      <c r="K26" s="133">
        <v>36341.18</v>
      </c>
      <c r="L26" s="133">
        <v>39247.62</v>
      </c>
      <c r="M26" s="133">
        <v>36339.39</v>
      </c>
      <c r="N26" s="133">
        <v>30976.66</v>
      </c>
      <c r="O26" s="133">
        <v>60920.4</v>
      </c>
      <c r="P26" s="135">
        <f t="shared" si="7"/>
        <v>394641.25</v>
      </c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/>
      <c r="B27" s="136" t="s">
        <v>113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09"/>
      <c r="P27" s="127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/>
      <c r="B28" s="128" t="s">
        <v>114</v>
      </c>
      <c r="C28" s="128" t="s">
        <v>115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41">
        <f t="shared" ref="P28:P33" si="8">SUM(D28:O28)</f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/>
      <c r="B29" s="128" t="s">
        <v>282</v>
      </c>
      <c r="C29" s="128" t="s">
        <v>283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41">
        <f t="shared" si="8"/>
        <v>0</v>
      </c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/>
      <c r="B30" s="128" t="s">
        <v>284</v>
      </c>
      <c r="C30" s="128" t="s">
        <v>285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41">
        <f t="shared" si="8"/>
        <v>0</v>
      </c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/>
      <c r="B31" s="128" t="s">
        <v>286</v>
      </c>
      <c r="C31" s="128" t="s">
        <v>287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41">
        <f t="shared" si="8"/>
        <v>0</v>
      </c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/>
      <c r="B32" s="128" t="s">
        <v>122</v>
      </c>
      <c r="C32" s="128" t="s">
        <v>123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41">
        <f t="shared" si="8"/>
        <v>0</v>
      </c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/>
      <c r="B33" s="128" t="s">
        <v>124</v>
      </c>
      <c r="C33" s="128" t="s">
        <v>125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41">
        <f t="shared" si="8"/>
        <v>0</v>
      </c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136" t="s">
        <v>79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09"/>
      <c r="P34" s="127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128" t="s">
        <v>288</v>
      </c>
      <c r="C35" s="128" t="s">
        <v>289</v>
      </c>
      <c r="D35" s="133">
        <v>5755.09</v>
      </c>
      <c r="E35" s="133">
        <v>5527.51</v>
      </c>
      <c r="F35" s="133">
        <v>3121.24</v>
      </c>
      <c r="G35" s="133">
        <v>3660.49</v>
      </c>
      <c r="H35" s="133">
        <v>5197.36</v>
      </c>
      <c r="I35" s="133">
        <v>5129.4</v>
      </c>
      <c r="J35" s="133">
        <v>4714.95</v>
      </c>
      <c r="K35" s="154">
        <v>4387.29</v>
      </c>
      <c r="L35" s="154">
        <f>SUM(D35:K35)/(8)</f>
        <v>4686.66625</v>
      </c>
      <c r="M35" s="154">
        <v>4686.66625</v>
      </c>
      <c r="N35" s="154">
        <v>4686.66625</v>
      </c>
      <c r="O35" s="154">
        <v>4686.66625</v>
      </c>
      <c r="P35" s="155">
        <f>SUM(D35:O35)</f>
        <v>56239.995</v>
      </c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128" t="s">
        <v>290</v>
      </c>
      <c r="C36" s="128" t="s">
        <v>291</v>
      </c>
      <c r="D36" s="138">
        <v>700.0</v>
      </c>
      <c r="E36" s="138">
        <v>700.0</v>
      </c>
      <c r="F36" s="138">
        <v>700.0</v>
      </c>
      <c r="G36" s="138">
        <v>700.0</v>
      </c>
      <c r="H36" s="138">
        <v>700.0</v>
      </c>
      <c r="I36" s="138">
        <v>700.0</v>
      </c>
      <c r="J36" s="138">
        <v>700.0</v>
      </c>
      <c r="K36" s="156">
        <v>700.0</v>
      </c>
      <c r="L36" s="156">
        <v>700.0</v>
      </c>
      <c r="M36" s="156">
        <v>700.0</v>
      </c>
      <c r="N36" s="156">
        <v>700.0</v>
      </c>
      <c r="O36" s="156">
        <v>700.0</v>
      </c>
      <c r="P36" s="157">
        <f>J36</f>
        <v>700</v>
      </c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128" t="s">
        <v>292</v>
      </c>
      <c r="C37" s="128" t="s">
        <v>293</v>
      </c>
      <c r="D37" s="133">
        <f t="shared" ref="D37:O37" si="9">D35/D36</f>
        <v>8.221557143</v>
      </c>
      <c r="E37" s="133">
        <f t="shared" si="9"/>
        <v>7.896442857</v>
      </c>
      <c r="F37" s="133">
        <f t="shared" si="9"/>
        <v>4.458914286</v>
      </c>
      <c r="G37" s="133">
        <f t="shared" si="9"/>
        <v>5.229271429</v>
      </c>
      <c r="H37" s="133">
        <f t="shared" si="9"/>
        <v>7.4248</v>
      </c>
      <c r="I37" s="133">
        <f t="shared" si="9"/>
        <v>7.327714286</v>
      </c>
      <c r="J37" s="133">
        <f t="shared" si="9"/>
        <v>6.735642857</v>
      </c>
      <c r="K37" s="154">
        <f t="shared" si="9"/>
        <v>6.267557143</v>
      </c>
      <c r="L37" s="154">
        <f t="shared" si="9"/>
        <v>6.6952375</v>
      </c>
      <c r="M37" s="154">
        <f t="shared" si="9"/>
        <v>6.6952375</v>
      </c>
      <c r="N37" s="154">
        <f t="shared" si="9"/>
        <v>6.6952375</v>
      </c>
      <c r="O37" s="154">
        <f t="shared" si="9"/>
        <v>6.6952375</v>
      </c>
      <c r="P37" s="155">
        <f t="shared" ref="P37:P38" si="10">SUM(D37:O37)</f>
        <v>80.34285</v>
      </c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128" t="s">
        <v>294</v>
      </c>
      <c r="C38" s="128" t="s">
        <v>295</v>
      </c>
      <c r="D38" s="133">
        <v>41376.98</v>
      </c>
      <c r="E38" s="133">
        <v>41351.19</v>
      </c>
      <c r="F38" s="133">
        <v>41171.83</v>
      </c>
      <c r="G38" s="133">
        <v>41212.64</v>
      </c>
      <c r="H38" s="133">
        <v>42203.34</v>
      </c>
      <c r="I38" s="133">
        <v>41437.36</v>
      </c>
      <c r="J38" s="133">
        <v>41870.97</v>
      </c>
      <c r="K38" s="154">
        <v>41350.24</v>
      </c>
      <c r="L38" s="154">
        <f>SUM(D38:K38)/(8)</f>
        <v>41496.81875</v>
      </c>
      <c r="M38" s="154">
        <v>41496.818750000006</v>
      </c>
      <c r="N38" s="154">
        <v>41496.818750000006</v>
      </c>
      <c r="O38" s="154">
        <v>41496.818750000006</v>
      </c>
      <c r="P38" s="155">
        <f t="shared" si="10"/>
        <v>497961.825</v>
      </c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128" t="s">
        <v>296</v>
      </c>
      <c r="C39" s="128" t="s">
        <v>297</v>
      </c>
      <c r="D39" s="138">
        <v>212.0</v>
      </c>
      <c r="E39" s="138">
        <v>212.0</v>
      </c>
      <c r="F39" s="138">
        <v>212.0</v>
      </c>
      <c r="G39" s="138">
        <v>212.0</v>
      </c>
      <c r="H39" s="138">
        <v>212.0</v>
      </c>
      <c r="I39" s="138">
        <v>212.0</v>
      </c>
      <c r="J39" s="138">
        <v>212.0</v>
      </c>
      <c r="K39" s="156">
        <v>212.0</v>
      </c>
      <c r="L39" s="156">
        <v>212.0</v>
      </c>
      <c r="M39" s="156">
        <v>212.0</v>
      </c>
      <c r="N39" s="156">
        <v>212.0</v>
      </c>
      <c r="O39" s="156">
        <v>212.0</v>
      </c>
      <c r="P39" s="157">
        <f>J39</f>
        <v>212</v>
      </c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128" t="s">
        <v>298</v>
      </c>
      <c r="C40" s="128" t="s">
        <v>299</v>
      </c>
      <c r="D40" s="133">
        <f t="shared" ref="D40:O40" si="11">D38/D39</f>
        <v>195.174434</v>
      </c>
      <c r="E40" s="133">
        <f t="shared" si="11"/>
        <v>195.052783</v>
      </c>
      <c r="F40" s="133">
        <f t="shared" si="11"/>
        <v>194.2067453</v>
      </c>
      <c r="G40" s="133">
        <f t="shared" si="11"/>
        <v>194.3992453</v>
      </c>
      <c r="H40" s="133">
        <f t="shared" si="11"/>
        <v>199.0723585</v>
      </c>
      <c r="I40" s="133">
        <f t="shared" si="11"/>
        <v>195.4592453</v>
      </c>
      <c r="J40" s="133">
        <f t="shared" si="11"/>
        <v>197.5045755</v>
      </c>
      <c r="K40" s="154">
        <f t="shared" si="11"/>
        <v>195.0483019</v>
      </c>
      <c r="L40" s="154">
        <f t="shared" si="11"/>
        <v>195.7397111</v>
      </c>
      <c r="M40" s="154">
        <f t="shared" si="11"/>
        <v>195.7397111</v>
      </c>
      <c r="N40" s="154">
        <f t="shared" si="11"/>
        <v>195.7397111</v>
      </c>
      <c r="O40" s="154">
        <f t="shared" si="11"/>
        <v>195.7397111</v>
      </c>
      <c r="P40" s="154">
        <f>SUM(D40:O40)</f>
        <v>2348.876533</v>
      </c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158"/>
      <c r="B41" s="136" t="s">
        <v>194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09"/>
      <c r="P41" s="159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158"/>
      <c r="B42" s="145" t="s">
        <v>195</v>
      </c>
      <c r="C42" s="160" t="s">
        <v>196</v>
      </c>
      <c r="D42" s="161">
        <v>1443.55</v>
      </c>
      <c r="E42" s="161">
        <v>2713.31</v>
      </c>
      <c r="F42" s="162">
        <v>4230.868</v>
      </c>
      <c r="G42" s="162">
        <v>2858.447</v>
      </c>
      <c r="H42" s="162">
        <v>3414.086</v>
      </c>
      <c r="I42" s="162">
        <v>3245.459</v>
      </c>
      <c r="J42" s="162">
        <v>1420.084</v>
      </c>
      <c r="K42" s="163">
        <v>3597.847</v>
      </c>
      <c r="L42" s="162">
        <v>3125.82</v>
      </c>
      <c r="M42" s="162">
        <v>3558.766</v>
      </c>
      <c r="N42" s="162">
        <v>2863.201</v>
      </c>
      <c r="O42" s="162">
        <v>2881.543</v>
      </c>
      <c r="P42" s="164">
        <f t="shared" ref="P42:P45" si="12">SUM(D42:O42)</f>
        <v>35352.981</v>
      </c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158"/>
      <c r="B43" s="149" t="s">
        <v>197</v>
      </c>
      <c r="C43" s="160" t="s">
        <v>198</v>
      </c>
      <c r="D43" s="161">
        <v>251.651</v>
      </c>
      <c r="E43" s="161">
        <v>245.57</v>
      </c>
      <c r="F43" s="162">
        <v>513.917</v>
      </c>
      <c r="G43" s="162">
        <v>407.721</v>
      </c>
      <c r="H43" s="162">
        <v>338.576</v>
      </c>
      <c r="I43" s="162">
        <v>360.186</v>
      </c>
      <c r="J43" s="162">
        <v>329.148</v>
      </c>
      <c r="K43" s="162">
        <v>409.832</v>
      </c>
      <c r="L43" s="162">
        <v>563.522</v>
      </c>
      <c r="M43" s="162">
        <v>282.62</v>
      </c>
      <c r="N43" s="162">
        <v>409.63</v>
      </c>
      <c r="O43" s="162">
        <v>218.9</v>
      </c>
      <c r="P43" s="164">
        <f t="shared" si="12"/>
        <v>4331.273</v>
      </c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158"/>
      <c r="B44" s="149" t="s">
        <v>199</v>
      </c>
      <c r="C44" s="160" t="s">
        <v>200</v>
      </c>
      <c r="D44" s="161">
        <v>121.877</v>
      </c>
      <c r="E44" s="161">
        <v>391.72</v>
      </c>
      <c r="F44" s="162">
        <v>391.116</v>
      </c>
      <c r="G44" s="162">
        <v>259.74</v>
      </c>
      <c r="H44" s="162">
        <v>304.78</v>
      </c>
      <c r="I44" s="162">
        <v>324.835</v>
      </c>
      <c r="J44" s="162">
        <v>415.16</v>
      </c>
      <c r="K44" s="162">
        <v>459.268</v>
      </c>
      <c r="L44" s="162">
        <v>386.44</v>
      </c>
      <c r="M44" s="162">
        <v>570.385</v>
      </c>
      <c r="N44" s="162">
        <v>507.097</v>
      </c>
      <c r="O44" s="162">
        <v>375.09</v>
      </c>
      <c r="P44" s="164">
        <f t="shared" si="12"/>
        <v>4507.508</v>
      </c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158"/>
      <c r="B45" s="165" t="s">
        <v>201</v>
      </c>
      <c r="C45" s="160" t="s">
        <v>300</v>
      </c>
      <c r="D45" s="161">
        <f t="shared" ref="D45:O45" si="13">SUM(D42:D44)</f>
        <v>1817.078</v>
      </c>
      <c r="E45" s="161">
        <f t="shared" si="13"/>
        <v>3350.6</v>
      </c>
      <c r="F45" s="162">
        <f t="shared" si="13"/>
        <v>5135.901</v>
      </c>
      <c r="G45" s="161">
        <f t="shared" si="13"/>
        <v>3525.908</v>
      </c>
      <c r="H45" s="161">
        <f t="shared" si="13"/>
        <v>4057.442</v>
      </c>
      <c r="I45" s="161">
        <f t="shared" si="13"/>
        <v>3930.48</v>
      </c>
      <c r="J45" s="161">
        <f t="shared" si="13"/>
        <v>2164.392</v>
      </c>
      <c r="K45" s="161">
        <f t="shared" si="13"/>
        <v>4466.947</v>
      </c>
      <c r="L45" s="161">
        <f t="shared" si="13"/>
        <v>4075.782</v>
      </c>
      <c r="M45" s="162">
        <f t="shared" si="13"/>
        <v>4411.771</v>
      </c>
      <c r="N45" s="162">
        <f t="shared" si="13"/>
        <v>3779.928</v>
      </c>
      <c r="O45" s="162">
        <f t="shared" si="13"/>
        <v>3475.533</v>
      </c>
      <c r="P45" s="164">
        <f t="shared" si="12"/>
        <v>44191.762</v>
      </c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136" t="s">
        <v>209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09"/>
      <c r="P46" s="127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166" t="s">
        <v>210</v>
      </c>
      <c r="C47" s="128" t="s">
        <v>301</v>
      </c>
      <c r="D47" s="133">
        <v>120.0</v>
      </c>
      <c r="E47" s="133">
        <v>0.0</v>
      </c>
      <c r="F47" s="133">
        <v>0.0</v>
      </c>
      <c r="G47" s="133">
        <v>55059.86</v>
      </c>
      <c r="H47" s="133">
        <v>17459.91</v>
      </c>
      <c r="I47" s="133">
        <v>89259.16</v>
      </c>
      <c r="J47" s="167">
        <v>681.08</v>
      </c>
      <c r="K47" s="133">
        <v>11669.05</v>
      </c>
      <c r="L47" s="133">
        <v>1547.24</v>
      </c>
      <c r="M47" s="133">
        <v>5700.58</v>
      </c>
      <c r="N47" s="133">
        <v>3934.7</v>
      </c>
      <c r="O47" s="133">
        <v>5405.13</v>
      </c>
      <c r="P47" s="135">
        <f>SUM(D47:O47)</f>
        <v>190836.71</v>
      </c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168"/>
      <c r="C48" s="169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9"/>
      <c r="C49" s="8"/>
      <c r="D49" s="171"/>
      <c r="E49" s="171"/>
      <c r="F49" s="172"/>
      <c r="G49" s="171"/>
      <c r="H49" s="171"/>
      <c r="I49" s="171"/>
      <c r="J49" s="172"/>
      <c r="K49" s="171"/>
      <c r="L49" s="171"/>
      <c r="M49" s="171"/>
      <c r="N49" s="172"/>
      <c r="O49" s="171"/>
      <c r="P49" s="171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9"/>
      <c r="C50" s="8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9"/>
      <c r="C51" s="8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9"/>
      <c r="C52" s="8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9"/>
      <c r="C53" s="8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9"/>
      <c r="C54" s="8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9"/>
      <c r="C55" s="8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9"/>
      <c r="C56" s="8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9"/>
      <c r="C57" s="8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9"/>
      <c r="C58" s="8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9"/>
      <c r="C59" s="8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9"/>
      <c r="C60" s="8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9"/>
      <c r="C61" s="8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9"/>
      <c r="C62" s="8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9"/>
      <c r="C63" s="8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9"/>
      <c r="C64" s="8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9"/>
      <c r="C65" s="8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9"/>
      <c r="C66" s="8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9"/>
      <c r="C67" s="8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9"/>
      <c r="C68" s="8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9"/>
      <c r="C69" s="8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9"/>
      <c r="C70" s="8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9"/>
      <c r="C71" s="8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9"/>
      <c r="C72" s="8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9"/>
      <c r="C73" s="8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9"/>
      <c r="C74" s="8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9"/>
      <c r="C75" s="8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9"/>
      <c r="C76" s="8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9"/>
      <c r="C77" s="8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9"/>
      <c r="C78" s="8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9"/>
      <c r="C79" s="8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9"/>
      <c r="C80" s="8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9"/>
      <c r="C81" s="8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9"/>
      <c r="C82" s="8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9"/>
      <c r="C83" s="8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9"/>
      <c r="C84" s="8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9"/>
      <c r="C85" s="8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9"/>
      <c r="C86" s="8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9"/>
      <c r="C87" s="8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9"/>
      <c r="C88" s="8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9"/>
      <c r="C89" s="8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9"/>
      <c r="C90" s="8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9"/>
      <c r="C91" s="8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9"/>
      <c r="C92" s="8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9"/>
      <c r="C93" s="8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9"/>
      <c r="C94" s="8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9"/>
      <c r="C95" s="8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9"/>
      <c r="C96" s="8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9"/>
      <c r="C97" s="8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9"/>
      <c r="C98" s="8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9"/>
      <c r="C99" s="8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9"/>
      <c r="C100" s="8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9"/>
      <c r="C101" s="8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9"/>
      <c r="C102" s="8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9"/>
      <c r="C103" s="8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9"/>
      <c r="C104" s="8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9"/>
      <c r="C105" s="8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9"/>
      <c r="C106" s="8"/>
      <c r="D106" s="171"/>
      <c r="E106" s="171"/>
      <c r="F106" s="171"/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9"/>
      <c r="C107" s="8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9"/>
      <c r="C108" s="8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9"/>
      <c r="C109" s="8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9"/>
      <c r="C110" s="8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9"/>
      <c r="C111" s="8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9"/>
      <c r="C112" s="8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9"/>
      <c r="C113" s="8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9"/>
      <c r="C114" s="8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9"/>
      <c r="C115" s="8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9"/>
      <c r="C116" s="8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9"/>
      <c r="C117" s="8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9"/>
      <c r="C118" s="8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9"/>
      <c r="C119" s="8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9"/>
      <c r="C120" s="8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9"/>
      <c r="C121" s="8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9"/>
      <c r="C122" s="8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9"/>
      <c r="C123" s="8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9"/>
      <c r="C124" s="8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9"/>
      <c r="C125" s="8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9"/>
      <c r="C126" s="8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9"/>
      <c r="C127" s="8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9"/>
      <c r="C128" s="8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9"/>
      <c r="C129" s="8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9"/>
      <c r="C130" s="8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9"/>
      <c r="C131" s="8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9"/>
      <c r="C132" s="8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9"/>
      <c r="C133" s="8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9"/>
      <c r="C134" s="8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9"/>
      <c r="C135" s="8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9"/>
      <c r="C136" s="8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9"/>
      <c r="C137" s="8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9"/>
      <c r="C138" s="8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9"/>
      <c r="C139" s="8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9"/>
      <c r="C140" s="8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9"/>
      <c r="C141" s="8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9"/>
      <c r="C142" s="8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9"/>
      <c r="C143" s="8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9"/>
      <c r="C144" s="8"/>
      <c r="D144" s="171"/>
      <c r="E144" s="171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9"/>
      <c r="C145" s="8"/>
      <c r="D145" s="171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9"/>
      <c r="C146" s="8"/>
      <c r="D146" s="171"/>
      <c r="E146" s="171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9"/>
      <c r="C147" s="8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9"/>
      <c r="C148" s="8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9"/>
      <c r="C149" s="8"/>
      <c r="D149" s="171"/>
      <c r="E149" s="171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9"/>
      <c r="C150" s="8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9"/>
      <c r="C151" s="8"/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  <c r="P151" s="171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9"/>
      <c r="C152" s="8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9"/>
      <c r="C153" s="8"/>
      <c r="D153" s="171"/>
      <c r="E153" s="171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9"/>
      <c r="C154" s="8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9"/>
      <c r="C155" s="8"/>
      <c r="D155" s="171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9"/>
      <c r="C156" s="8"/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9"/>
      <c r="C157" s="8"/>
      <c r="D157" s="171"/>
      <c r="E157" s="171"/>
      <c r="F157" s="171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9"/>
      <c r="C158" s="8"/>
      <c r="D158" s="171"/>
      <c r="E158" s="171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9"/>
      <c r="C159" s="8"/>
      <c r="D159" s="171"/>
      <c r="E159" s="171"/>
      <c r="F159" s="171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9"/>
      <c r="C160" s="8"/>
      <c r="D160" s="171"/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9"/>
      <c r="C161" s="8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9"/>
      <c r="C162" s="8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9"/>
      <c r="C163" s="8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9"/>
      <c r="C164" s="8"/>
      <c r="D164" s="171"/>
      <c r="E164" s="171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9"/>
      <c r="C165" s="8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9"/>
      <c r="C166" s="8"/>
      <c r="D166" s="171"/>
      <c r="E166" s="171"/>
      <c r="F166" s="171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9"/>
      <c r="C167" s="8"/>
      <c r="D167" s="171"/>
      <c r="E167" s="171"/>
      <c r="F167" s="171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9"/>
      <c r="C168" s="8"/>
      <c r="D168" s="171"/>
      <c r="E168" s="171"/>
      <c r="F168" s="171"/>
      <c r="G168" s="171"/>
      <c r="H168" s="171"/>
      <c r="I168" s="171"/>
      <c r="J168" s="171"/>
      <c r="K168" s="171"/>
      <c r="L168" s="171"/>
      <c r="M168" s="171"/>
      <c r="N168" s="171"/>
      <c r="O168" s="171"/>
      <c r="P168" s="171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9"/>
      <c r="C169" s="8"/>
      <c r="D169" s="171"/>
      <c r="E169" s="171"/>
      <c r="F169" s="171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9"/>
      <c r="C170" s="8"/>
      <c r="D170" s="171"/>
      <c r="E170" s="171"/>
      <c r="F170" s="171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9"/>
      <c r="C171" s="8"/>
      <c r="D171" s="171"/>
      <c r="E171" s="171"/>
      <c r="F171" s="171"/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9"/>
      <c r="C172" s="8"/>
      <c r="D172" s="171"/>
      <c r="E172" s="171"/>
      <c r="F172" s="171"/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9"/>
      <c r="C173" s="8"/>
      <c r="D173" s="171"/>
      <c r="E173" s="171"/>
      <c r="F173" s="171"/>
      <c r="G173" s="171"/>
      <c r="H173" s="171"/>
      <c r="I173" s="171"/>
      <c r="J173" s="171"/>
      <c r="K173" s="171"/>
      <c r="L173" s="171"/>
      <c r="M173" s="171"/>
      <c r="N173" s="171"/>
      <c r="O173" s="171"/>
      <c r="P173" s="171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9"/>
      <c r="C174" s="8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9"/>
      <c r="C175" s="8"/>
      <c r="D175" s="171"/>
      <c r="E175" s="171"/>
      <c r="F175" s="171"/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9"/>
      <c r="C176" s="8"/>
      <c r="D176" s="171"/>
      <c r="E176" s="171"/>
      <c r="F176" s="171"/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9"/>
      <c r="C177" s="8"/>
      <c r="D177" s="171"/>
      <c r="E177" s="171"/>
      <c r="F177" s="171"/>
      <c r="G177" s="171"/>
      <c r="H177" s="171"/>
      <c r="I177" s="171"/>
      <c r="J177" s="171"/>
      <c r="K177" s="171"/>
      <c r="L177" s="171"/>
      <c r="M177" s="171"/>
      <c r="N177" s="171"/>
      <c r="O177" s="171"/>
      <c r="P177" s="171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9"/>
      <c r="C178" s="8"/>
      <c r="D178" s="171"/>
      <c r="E178" s="171"/>
      <c r="F178" s="171"/>
      <c r="G178" s="171"/>
      <c r="H178" s="171"/>
      <c r="I178" s="171"/>
      <c r="J178" s="171"/>
      <c r="K178" s="171"/>
      <c r="L178" s="171"/>
      <c r="M178" s="171"/>
      <c r="N178" s="171"/>
      <c r="O178" s="171"/>
      <c r="P178" s="171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9"/>
      <c r="C179" s="8"/>
      <c r="D179" s="171"/>
      <c r="E179" s="171"/>
      <c r="F179" s="171"/>
      <c r="G179" s="171"/>
      <c r="H179" s="171"/>
      <c r="I179" s="171"/>
      <c r="J179" s="171"/>
      <c r="K179" s="171"/>
      <c r="L179" s="171"/>
      <c r="M179" s="171"/>
      <c r="N179" s="171"/>
      <c r="O179" s="171"/>
      <c r="P179" s="171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9"/>
      <c r="C180" s="8"/>
      <c r="D180" s="171"/>
      <c r="E180" s="171"/>
      <c r="F180" s="171"/>
      <c r="G180" s="171"/>
      <c r="H180" s="171"/>
      <c r="I180" s="171"/>
      <c r="J180" s="171"/>
      <c r="K180" s="171"/>
      <c r="L180" s="171"/>
      <c r="M180" s="171"/>
      <c r="N180" s="171"/>
      <c r="O180" s="171"/>
      <c r="P180" s="171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9"/>
      <c r="C181" s="8"/>
      <c r="D181" s="171"/>
      <c r="E181" s="171"/>
      <c r="F181" s="171"/>
      <c r="G181" s="171"/>
      <c r="H181" s="171"/>
      <c r="I181" s="171"/>
      <c r="J181" s="171"/>
      <c r="K181" s="171"/>
      <c r="L181" s="171"/>
      <c r="M181" s="171"/>
      <c r="N181" s="171"/>
      <c r="O181" s="171"/>
      <c r="P181" s="171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9"/>
      <c r="C182" s="8"/>
      <c r="D182" s="171"/>
      <c r="E182" s="171"/>
      <c r="F182" s="171"/>
      <c r="G182" s="171"/>
      <c r="H182" s="171"/>
      <c r="I182" s="171"/>
      <c r="J182" s="171"/>
      <c r="K182" s="171"/>
      <c r="L182" s="171"/>
      <c r="M182" s="171"/>
      <c r="N182" s="171"/>
      <c r="O182" s="171"/>
      <c r="P182" s="171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9"/>
      <c r="C183" s="8"/>
      <c r="D183" s="171"/>
      <c r="E183" s="171"/>
      <c r="F183" s="171"/>
      <c r="G183" s="171"/>
      <c r="H183" s="171"/>
      <c r="I183" s="171"/>
      <c r="J183" s="171"/>
      <c r="K183" s="171"/>
      <c r="L183" s="171"/>
      <c r="M183" s="171"/>
      <c r="N183" s="171"/>
      <c r="O183" s="171"/>
      <c r="P183" s="171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9"/>
      <c r="C184" s="8"/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  <c r="P184" s="171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9"/>
      <c r="C185" s="8"/>
      <c r="D185" s="171"/>
      <c r="E185" s="171"/>
      <c r="F185" s="171"/>
      <c r="G185" s="171"/>
      <c r="H185" s="171"/>
      <c r="I185" s="171"/>
      <c r="J185" s="171"/>
      <c r="K185" s="171"/>
      <c r="L185" s="171"/>
      <c r="M185" s="171"/>
      <c r="N185" s="171"/>
      <c r="O185" s="171"/>
      <c r="P185" s="171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9"/>
      <c r="C186" s="8"/>
      <c r="D186" s="171"/>
      <c r="E186" s="171"/>
      <c r="F186" s="171"/>
      <c r="G186" s="171"/>
      <c r="H186" s="171"/>
      <c r="I186" s="171"/>
      <c r="J186" s="171"/>
      <c r="K186" s="171"/>
      <c r="L186" s="171"/>
      <c r="M186" s="171"/>
      <c r="N186" s="171"/>
      <c r="O186" s="171"/>
      <c r="P186" s="171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9"/>
      <c r="C187" s="8"/>
      <c r="D187" s="171"/>
      <c r="E187" s="171"/>
      <c r="F187" s="171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9"/>
      <c r="C188" s="8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9"/>
      <c r="C189" s="8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9"/>
      <c r="C190" s="8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9"/>
      <c r="C191" s="8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9"/>
      <c r="C192" s="8"/>
      <c r="D192" s="171"/>
      <c r="E192" s="171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9"/>
      <c r="C193" s="8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9"/>
      <c r="C194" s="8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9"/>
      <c r="C195" s="8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9"/>
      <c r="C196" s="8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9"/>
      <c r="C197" s="8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9"/>
      <c r="C198" s="8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9"/>
      <c r="C199" s="8"/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9"/>
      <c r="C200" s="8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9"/>
      <c r="C201" s="8"/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9"/>
      <c r="C202" s="8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9"/>
      <c r="C203" s="8"/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9"/>
      <c r="C204" s="8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9"/>
      <c r="C205" s="8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9"/>
      <c r="C206" s="8"/>
      <c r="D206" s="171"/>
      <c r="E206" s="171"/>
      <c r="F206" s="171"/>
      <c r="G206" s="171"/>
      <c r="H206" s="171"/>
      <c r="I206" s="171"/>
      <c r="J206" s="171"/>
      <c r="K206" s="171"/>
      <c r="L206" s="171"/>
      <c r="M206" s="171"/>
      <c r="N206" s="171"/>
      <c r="O206" s="171"/>
      <c r="P206" s="171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9"/>
      <c r="C207" s="8"/>
      <c r="D207" s="171"/>
      <c r="E207" s="171"/>
      <c r="F207" s="171"/>
      <c r="G207" s="171"/>
      <c r="H207" s="171"/>
      <c r="I207" s="171"/>
      <c r="J207" s="171"/>
      <c r="K207" s="171"/>
      <c r="L207" s="171"/>
      <c r="M207" s="171"/>
      <c r="N207" s="171"/>
      <c r="O207" s="171"/>
      <c r="P207" s="171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9"/>
      <c r="C208" s="8"/>
      <c r="D208" s="171"/>
      <c r="E208" s="171"/>
      <c r="F208" s="171"/>
      <c r="G208" s="171"/>
      <c r="H208" s="171"/>
      <c r="I208" s="171"/>
      <c r="J208" s="171"/>
      <c r="K208" s="171"/>
      <c r="L208" s="171"/>
      <c r="M208" s="171"/>
      <c r="N208" s="171"/>
      <c r="O208" s="171"/>
      <c r="P208" s="171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9"/>
      <c r="C209" s="8"/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9"/>
      <c r="C210" s="8"/>
      <c r="D210" s="171"/>
      <c r="E210" s="171"/>
      <c r="F210" s="171"/>
      <c r="G210" s="171"/>
      <c r="H210" s="171"/>
      <c r="I210" s="171"/>
      <c r="J210" s="171"/>
      <c r="K210" s="171"/>
      <c r="L210" s="171"/>
      <c r="M210" s="171"/>
      <c r="N210" s="171"/>
      <c r="O210" s="171"/>
      <c r="P210" s="171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9"/>
      <c r="C211" s="8"/>
      <c r="D211" s="171"/>
      <c r="E211" s="171"/>
      <c r="F211" s="171"/>
      <c r="G211" s="171"/>
      <c r="H211" s="171"/>
      <c r="I211" s="171"/>
      <c r="J211" s="171"/>
      <c r="K211" s="171"/>
      <c r="L211" s="171"/>
      <c r="M211" s="171"/>
      <c r="N211" s="171"/>
      <c r="O211" s="171"/>
      <c r="P211" s="171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9"/>
      <c r="C212" s="8"/>
      <c r="D212" s="171"/>
      <c r="E212" s="171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9"/>
      <c r="C213" s="8"/>
      <c r="D213" s="171"/>
      <c r="E213" s="171"/>
      <c r="F213" s="171"/>
      <c r="G213" s="171"/>
      <c r="H213" s="171"/>
      <c r="I213" s="171"/>
      <c r="J213" s="171"/>
      <c r="K213" s="171"/>
      <c r="L213" s="171"/>
      <c r="M213" s="171"/>
      <c r="N213" s="171"/>
      <c r="O213" s="171"/>
      <c r="P213" s="171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9"/>
      <c r="C214" s="8"/>
      <c r="D214" s="171"/>
      <c r="E214" s="171"/>
      <c r="F214" s="171"/>
      <c r="G214" s="171"/>
      <c r="H214" s="171"/>
      <c r="I214" s="171"/>
      <c r="J214" s="171"/>
      <c r="K214" s="171"/>
      <c r="L214" s="171"/>
      <c r="M214" s="171"/>
      <c r="N214" s="171"/>
      <c r="O214" s="171"/>
      <c r="P214" s="171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9"/>
      <c r="C215" s="8"/>
      <c r="D215" s="171"/>
      <c r="E215" s="171"/>
      <c r="F215" s="171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9"/>
      <c r="C216" s="8"/>
      <c r="D216" s="171"/>
      <c r="E216" s="171"/>
      <c r="F216" s="171"/>
      <c r="G216" s="171"/>
      <c r="H216" s="171"/>
      <c r="I216" s="171"/>
      <c r="J216" s="171"/>
      <c r="K216" s="171"/>
      <c r="L216" s="171"/>
      <c r="M216" s="171"/>
      <c r="N216" s="171"/>
      <c r="O216" s="171"/>
      <c r="P216" s="171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9"/>
      <c r="C217" s="8"/>
      <c r="D217" s="171"/>
      <c r="E217" s="171"/>
      <c r="F217" s="171"/>
      <c r="G217" s="171"/>
      <c r="H217" s="171"/>
      <c r="I217" s="171"/>
      <c r="J217" s="171"/>
      <c r="K217" s="171"/>
      <c r="L217" s="171"/>
      <c r="M217" s="171"/>
      <c r="N217" s="171"/>
      <c r="O217" s="171"/>
      <c r="P217" s="171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9"/>
      <c r="C218" s="8"/>
      <c r="D218" s="171"/>
      <c r="E218" s="171"/>
      <c r="F218" s="171"/>
      <c r="G218" s="171"/>
      <c r="H218" s="171"/>
      <c r="I218" s="171"/>
      <c r="J218" s="171"/>
      <c r="K218" s="171"/>
      <c r="L218" s="171"/>
      <c r="M218" s="171"/>
      <c r="N218" s="171"/>
      <c r="O218" s="171"/>
      <c r="P218" s="171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9"/>
      <c r="C219" s="8"/>
      <c r="D219" s="171"/>
      <c r="E219" s="171"/>
      <c r="F219" s="171"/>
      <c r="G219" s="171"/>
      <c r="H219" s="171"/>
      <c r="I219" s="171"/>
      <c r="J219" s="171"/>
      <c r="K219" s="171"/>
      <c r="L219" s="171"/>
      <c r="M219" s="171"/>
      <c r="N219" s="171"/>
      <c r="O219" s="171"/>
      <c r="P219" s="171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9"/>
      <c r="C220" s="8"/>
      <c r="D220" s="171"/>
      <c r="E220" s="171"/>
      <c r="F220" s="171"/>
      <c r="G220" s="171"/>
      <c r="H220" s="171"/>
      <c r="I220" s="171"/>
      <c r="J220" s="171"/>
      <c r="K220" s="171"/>
      <c r="L220" s="171"/>
      <c r="M220" s="171"/>
      <c r="N220" s="171"/>
      <c r="O220" s="171"/>
      <c r="P220" s="171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9"/>
      <c r="C221" s="8"/>
      <c r="D221" s="171"/>
      <c r="E221" s="171"/>
      <c r="F221" s="171"/>
      <c r="G221" s="171"/>
      <c r="H221" s="171"/>
      <c r="I221" s="171"/>
      <c r="J221" s="171"/>
      <c r="K221" s="171"/>
      <c r="L221" s="171"/>
      <c r="M221" s="171"/>
      <c r="N221" s="171"/>
      <c r="O221" s="171"/>
      <c r="P221" s="171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9"/>
      <c r="C222" s="8"/>
      <c r="D222" s="171"/>
      <c r="E222" s="171"/>
      <c r="F222" s="171"/>
      <c r="G222" s="171"/>
      <c r="H222" s="171"/>
      <c r="I222" s="171"/>
      <c r="J222" s="171"/>
      <c r="K222" s="171"/>
      <c r="L222" s="171"/>
      <c r="M222" s="171"/>
      <c r="N222" s="171"/>
      <c r="O222" s="171"/>
      <c r="P222" s="171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9"/>
      <c r="C223" s="8"/>
      <c r="D223" s="171"/>
      <c r="E223" s="171"/>
      <c r="F223" s="171"/>
      <c r="G223" s="171"/>
      <c r="H223" s="171"/>
      <c r="I223" s="171"/>
      <c r="J223" s="171"/>
      <c r="K223" s="171"/>
      <c r="L223" s="171"/>
      <c r="M223" s="171"/>
      <c r="N223" s="171"/>
      <c r="O223" s="171"/>
      <c r="P223" s="171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9"/>
      <c r="C224" s="8"/>
      <c r="D224" s="171"/>
      <c r="E224" s="171"/>
      <c r="F224" s="171"/>
      <c r="G224" s="171"/>
      <c r="H224" s="171"/>
      <c r="I224" s="171"/>
      <c r="J224" s="171"/>
      <c r="K224" s="171"/>
      <c r="L224" s="171"/>
      <c r="M224" s="171"/>
      <c r="N224" s="171"/>
      <c r="O224" s="171"/>
      <c r="P224" s="171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9"/>
      <c r="C225" s="8"/>
      <c r="D225" s="171"/>
      <c r="E225" s="171"/>
      <c r="F225" s="171"/>
      <c r="G225" s="171"/>
      <c r="H225" s="171"/>
      <c r="I225" s="171"/>
      <c r="J225" s="171"/>
      <c r="K225" s="171"/>
      <c r="L225" s="171"/>
      <c r="M225" s="171"/>
      <c r="N225" s="171"/>
      <c r="O225" s="171"/>
      <c r="P225" s="171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9"/>
      <c r="C226" s="8"/>
      <c r="D226" s="171"/>
      <c r="E226" s="171"/>
      <c r="F226" s="171"/>
      <c r="G226" s="171"/>
      <c r="H226" s="171"/>
      <c r="I226" s="171"/>
      <c r="J226" s="171"/>
      <c r="K226" s="171"/>
      <c r="L226" s="171"/>
      <c r="M226" s="171"/>
      <c r="N226" s="171"/>
      <c r="O226" s="171"/>
      <c r="P226" s="171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9"/>
      <c r="C227" s="8"/>
      <c r="D227" s="171"/>
      <c r="E227" s="171"/>
      <c r="F227" s="171"/>
      <c r="G227" s="171"/>
      <c r="H227" s="171"/>
      <c r="I227" s="171"/>
      <c r="J227" s="171"/>
      <c r="K227" s="171"/>
      <c r="L227" s="171"/>
      <c r="M227" s="171"/>
      <c r="N227" s="171"/>
      <c r="O227" s="171"/>
      <c r="P227" s="171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9"/>
      <c r="C228" s="8"/>
      <c r="D228" s="171"/>
      <c r="E228" s="171"/>
      <c r="F228" s="171"/>
      <c r="G228" s="171"/>
      <c r="H228" s="171"/>
      <c r="I228" s="171"/>
      <c r="J228" s="171"/>
      <c r="K228" s="171"/>
      <c r="L228" s="171"/>
      <c r="M228" s="171"/>
      <c r="N228" s="171"/>
      <c r="O228" s="171"/>
      <c r="P228" s="171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9"/>
      <c r="C229" s="8"/>
      <c r="D229" s="171"/>
      <c r="E229" s="171"/>
      <c r="F229" s="171"/>
      <c r="G229" s="171"/>
      <c r="H229" s="171"/>
      <c r="I229" s="171"/>
      <c r="J229" s="171"/>
      <c r="K229" s="171"/>
      <c r="L229" s="171"/>
      <c r="M229" s="171"/>
      <c r="N229" s="171"/>
      <c r="O229" s="171"/>
      <c r="P229" s="171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9"/>
      <c r="C230" s="8"/>
      <c r="D230" s="171"/>
      <c r="E230" s="171"/>
      <c r="F230" s="171"/>
      <c r="G230" s="171"/>
      <c r="H230" s="171"/>
      <c r="I230" s="171"/>
      <c r="J230" s="171"/>
      <c r="K230" s="171"/>
      <c r="L230" s="171"/>
      <c r="M230" s="171"/>
      <c r="N230" s="171"/>
      <c r="O230" s="171"/>
      <c r="P230" s="171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9"/>
      <c r="C231" s="8"/>
      <c r="D231" s="171"/>
      <c r="E231" s="171"/>
      <c r="F231" s="171"/>
      <c r="G231" s="171"/>
      <c r="H231" s="171"/>
      <c r="I231" s="171"/>
      <c r="J231" s="171"/>
      <c r="K231" s="171"/>
      <c r="L231" s="171"/>
      <c r="M231" s="171"/>
      <c r="N231" s="171"/>
      <c r="O231" s="171"/>
      <c r="P231" s="171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9"/>
      <c r="C232" s="8"/>
      <c r="D232" s="171"/>
      <c r="E232" s="171"/>
      <c r="F232" s="171"/>
      <c r="G232" s="171"/>
      <c r="H232" s="171"/>
      <c r="I232" s="171"/>
      <c r="J232" s="171"/>
      <c r="K232" s="171"/>
      <c r="L232" s="171"/>
      <c r="M232" s="171"/>
      <c r="N232" s="171"/>
      <c r="O232" s="171"/>
      <c r="P232" s="171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9"/>
      <c r="C233" s="8"/>
      <c r="D233" s="171"/>
      <c r="E233" s="171"/>
      <c r="F233" s="171"/>
      <c r="G233" s="171"/>
      <c r="H233" s="171"/>
      <c r="I233" s="171"/>
      <c r="J233" s="171"/>
      <c r="K233" s="171"/>
      <c r="L233" s="171"/>
      <c r="M233" s="171"/>
      <c r="N233" s="171"/>
      <c r="O233" s="171"/>
      <c r="P233" s="171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9"/>
      <c r="C234" s="8"/>
      <c r="D234" s="171"/>
      <c r="E234" s="171"/>
      <c r="F234" s="171"/>
      <c r="G234" s="171"/>
      <c r="H234" s="171"/>
      <c r="I234" s="171"/>
      <c r="J234" s="171"/>
      <c r="K234" s="171"/>
      <c r="L234" s="171"/>
      <c r="M234" s="171"/>
      <c r="N234" s="171"/>
      <c r="O234" s="171"/>
      <c r="P234" s="171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9"/>
      <c r="C235" s="8"/>
      <c r="D235" s="171"/>
      <c r="E235" s="171"/>
      <c r="F235" s="171"/>
      <c r="G235" s="171"/>
      <c r="H235" s="171"/>
      <c r="I235" s="171"/>
      <c r="J235" s="171"/>
      <c r="K235" s="171"/>
      <c r="L235" s="171"/>
      <c r="M235" s="171"/>
      <c r="N235" s="171"/>
      <c r="O235" s="171"/>
      <c r="P235" s="171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9"/>
      <c r="C236" s="8"/>
      <c r="D236" s="171"/>
      <c r="E236" s="171"/>
      <c r="F236" s="171"/>
      <c r="G236" s="171"/>
      <c r="H236" s="171"/>
      <c r="I236" s="171"/>
      <c r="J236" s="171"/>
      <c r="K236" s="171"/>
      <c r="L236" s="171"/>
      <c r="M236" s="171"/>
      <c r="N236" s="171"/>
      <c r="O236" s="171"/>
      <c r="P236" s="171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9"/>
      <c r="C237" s="8"/>
      <c r="D237" s="171"/>
      <c r="E237" s="171"/>
      <c r="F237" s="171"/>
      <c r="G237" s="171"/>
      <c r="H237" s="171"/>
      <c r="I237" s="171"/>
      <c r="J237" s="171"/>
      <c r="K237" s="171"/>
      <c r="L237" s="171"/>
      <c r="M237" s="171"/>
      <c r="N237" s="171"/>
      <c r="O237" s="171"/>
      <c r="P237" s="171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9"/>
      <c r="C238" s="8"/>
      <c r="D238" s="171"/>
      <c r="E238" s="171"/>
      <c r="F238" s="171"/>
      <c r="G238" s="171"/>
      <c r="H238" s="171"/>
      <c r="I238" s="171"/>
      <c r="J238" s="171"/>
      <c r="K238" s="171"/>
      <c r="L238" s="171"/>
      <c r="M238" s="171"/>
      <c r="N238" s="171"/>
      <c r="O238" s="171"/>
      <c r="P238" s="171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9"/>
      <c r="C239" s="8"/>
      <c r="D239" s="171"/>
      <c r="E239" s="171"/>
      <c r="F239" s="171"/>
      <c r="G239" s="171"/>
      <c r="H239" s="171"/>
      <c r="I239" s="171"/>
      <c r="J239" s="171"/>
      <c r="K239" s="171"/>
      <c r="L239" s="171"/>
      <c r="M239" s="171"/>
      <c r="N239" s="171"/>
      <c r="O239" s="171"/>
      <c r="P239" s="171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9"/>
      <c r="C240" s="8"/>
      <c r="D240" s="171"/>
      <c r="E240" s="171"/>
      <c r="F240" s="171"/>
      <c r="G240" s="171"/>
      <c r="H240" s="171"/>
      <c r="I240" s="171"/>
      <c r="J240" s="171"/>
      <c r="K240" s="171"/>
      <c r="L240" s="171"/>
      <c r="M240" s="171"/>
      <c r="N240" s="171"/>
      <c r="O240" s="171"/>
      <c r="P240" s="171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9"/>
      <c r="C241" s="8"/>
      <c r="D241" s="171"/>
      <c r="E241" s="171"/>
      <c r="F241" s="171"/>
      <c r="G241" s="171"/>
      <c r="H241" s="171"/>
      <c r="I241" s="171"/>
      <c r="J241" s="171"/>
      <c r="K241" s="171"/>
      <c r="L241" s="171"/>
      <c r="M241" s="171"/>
      <c r="N241" s="171"/>
      <c r="O241" s="171"/>
      <c r="P241" s="171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9"/>
      <c r="C242" s="8"/>
      <c r="D242" s="171"/>
      <c r="E242" s="171"/>
      <c r="F242" s="171"/>
      <c r="G242" s="171"/>
      <c r="H242" s="171"/>
      <c r="I242" s="171"/>
      <c r="J242" s="171"/>
      <c r="K242" s="171"/>
      <c r="L242" s="171"/>
      <c r="M242" s="171"/>
      <c r="N242" s="171"/>
      <c r="O242" s="171"/>
      <c r="P242" s="171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9"/>
      <c r="C243" s="8"/>
      <c r="D243" s="171"/>
      <c r="E243" s="171"/>
      <c r="F243" s="171"/>
      <c r="G243" s="171"/>
      <c r="H243" s="171"/>
      <c r="I243" s="171"/>
      <c r="J243" s="171"/>
      <c r="K243" s="171"/>
      <c r="L243" s="171"/>
      <c r="M243" s="171"/>
      <c r="N243" s="171"/>
      <c r="O243" s="171"/>
      <c r="P243" s="171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9"/>
      <c r="C244" s="8"/>
      <c r="D244" s="171"/>
      <c r="E244" s="171"/>
      <c r="F244" s="171"/>
      <c r="G244" s="171"/>
      <c r="H244" s="171"/>
      <c r="I244" s="171"/>
      <c r="J244" s="171"/>
      <c r="K244" s="171"/>
      <c r="L244" s="171"/>
      <c r="M244" s="171"/>
      <c r="N244" s="171"/>
      <c r="O244" s="171"/>
      <c r="P244" s="171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9"/>
      <c r="C245" s="8"/>
      <c r="D245" s="171"/>
      <c r="E245" s="171"/>
      <c r="F245" s="171"/>
      <c r="G245" s="171"/>
      <c r="H245" s="171"/>
      <c r="I245" s="171"/>
      <c r="J245" s="171"/>
      <c r="K245" s="171"/>
      <c r="L245" s="171"/>
      <c r="M245" s="171"/>
      <c r="N245" s="171"/>
      <c r="O245" s="171"/>
      <c r="P245" s="171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9"/>
      <c r="C246" s="8"/>
      <c r="D246" s="171"/>
      <c r="E246" s="171"/>
      <c r="F246" s="171"/>
      <c r="G246" s="171"/>
      <c r="H246" s="171"/>
      <c r="I246" s="171"/>
      <c r="J246" s="171"/>
      <c r="K246" s="171"/>
      <c r="L246" s="171"/>
      <c r="M246" s="171"/>
      <c r="N246" s="171"/>
      <c r="O246" s="171"/>
      <c r="P246" s="171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171"/>
      <c r="E247" s="171"/>
      <c r="F247" s="171"/>
      <c r="G247" s="171"/>
      <c r="H247" s="171"/>
      <c r="I247" s="171"/>
      <c r="J247" s="171"/>
      <c r="K247" s="171"/>
      <c r="L247" s="171"/>
      <c r="M247" s="171"/>
      <c r="N247" s="171"/>
      <c r="O247" s="171"/>
      <c r="P247" s="171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6">
    <mergeCell ref="B1:C1"/>
    <mergeCell ref="D1:O1"/>
    <mergeCell ref="B2:O2"/>
    <mergeCell ref="B3:B4"/>
    <mergeCell ref="C3:C4"/>
    <mergeCell ref="D3:O3"/>
    <mergeCell ref="B5:O5"/>
    <mergeCell ref="B41:O41"/>
    <mergeCell ref="B46:O46"/>
    <mergeCell ref="B9:O9"/>
    <mergeCell ref="B12:O12"/>
    <mergeCell ref="B19:O19"/>
    <mergeCell ref="B21:O21"/>
    <mergeCell ref="B24:O24"/>
    <mergeCell ref="B27:O27"/>
    <mergeCell ref="B34:O34"/>
  </mergeCells>
  <dataValidations>
    <dataValidation type="list" allowBlank="1" showErrorMessage="1" sqref="P1">
      <formula1>TRIBUNAIS</formula1>
    </dataValidation>
  </dataValidations>
  <printOptions/>
  <pageMargins bottom="0.787401575" footer="0.0" header="0.0" left="0.511811024" right="0.511811024" top="0.7874015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2" width="4.0"/>
    <col customWidth="1" min="3" max="6" width="14.43"/>
  </cols>
  <sheetData>
    <row r="1">
      <c r="A1" s="173" t="s">
        <v>302</v>
      </c>
      <c r="B1" s="173"/>
      <c r="C1" s="173" t="s">
        <v>303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174" t="s">
        <v>44</v>
      </c>
      <c r="B2" s="15"/>
      <c r="C2" s="15" t="s">
        <v>45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174" t="s">
        <v>9</v>
      </c>
      <c r="B3" s="15"/>
      <c r="C3" s="15" t="s">
        <v>10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74" t="s">
        <v>304</v>
      </c>
      <c r="B4" s="15"/>
      <c r="C4" s="15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75" t="s">
        <v>58</v>
      </c>
      <c r="B5" s="15"/>
      <c r="C5" s="15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15"/>
      <c r="B6" s="15"/>
      <c r="C6" s="1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15"/>
      <c r="B7" s="15"/>
      <c r="C7" s="1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15"/>
      <c r="B8" s="15"/>
      <c r="C8" s="1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15"/>
      <c r="B9" s="15"/>
      <c r="C9" s="1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15"/>
      <c r="B10" s="15"/>
      <c r="C10" s="1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15"/>
      <c r="B11" s="15"/>
      <c r="C11" s="1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15"/>
      <c r="B12" s="15"/>
      <c r="C12" s="1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15"/>
      <c r="B13" s="15"/>
      <c r="C13" s="1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15"/>
      <c r="B14" s="15"/>
      <c r="C14" s="1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15"/>
      <c r="B15" s="15"/>
      <c r="C15" s="1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15"/>
      <c r="B16" s="15"/>
      <c r="C16" s="1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15"/>
      <c r="B17" s="15"/>
      <c r="C17" s="1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15"/>
      <c r="B18" s="15"/>
      <c r="C18" s="15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15"/>
      <c r="B19" s="15"/>
      <c r="C19" s="1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15"/>
      <c r="B20" s="15"/>
      <c r="C20" s="1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5"/>
      <c r="B21" s="15"/>
      <c r="C21" s="15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5"/>
      <c r="B22" s="15"/>
      <c r="C22" s="15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15"/>
      <c r="B23" s="15"/>
      <c r="C23" s="15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15"/>
      <c r="B24" s="15"/>
      <c r="C24" s="15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15"/>
      <c r="B25" s="15"/>
      <c r="C25" s="15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15"/>
      <c r="B26" s="15"/>
      <c r="C26" s="15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15"/>
      <c r="B27" s="15"/>
      <c r="C27" s="15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15"/>
      <c r="B28" s="15"/>
      <c r="C28" s="15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15"/>
      <c r="B29" s="15"/>
      <c r="C29" s="15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15"/>
      <c r="B30" s="15"/>
      <c r="C30" s="15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15"/>
      <c r="B31" s="15"/>
      <c r="C31" s="15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15"/>
      <c r="B32" s="15"/>
      <c r="C32" s="15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15"/>
      <c r="B33" s="15"/>
      <c r="C33" s="15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15"/>
      <c r="B34" s="15"/>
      <c r="C34" s="15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15"/>
      <c r="B35" s="15"/>
      <c r="C35" s="15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15"/>
      <c r="B36" s="15"/>
      <c r="C36" s="15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15"/>
      <c r="B37" s="15"/>
      <c r="C37" s="15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15"/>
      <c r="B38" s="15"/>
      <c r="C38" s="15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15"/>
      <c r="B39" s="15"/>
      <c r="C39" s="15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15"/>
      <c r="B40" s="15"/>
      <c r="C40" s="15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15"/>
      <c r="B41" s="15"/>
      <c r="C41" s="15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15"/>
      <c r="B42" s="15"/>
      <c r="C42" s="15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15"/>
      <c r="B43" s="15"/>
      <c r="C43" s="15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15"/>
      <c r="B44" s="15"/>
      <c r="C44" s="15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15"/>
      <c r="B45" s="15"/>
      <c r="C45" s="15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15"/>
      <c r="B46" s="15"/>
      <c r="C46" s="15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15"/>
      <c r="B47" s="15"/>
      <c r="C47" s="15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15"/>
      <c r="B48" s="15"/>
      <c r="C48" s="15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15"/>
      <c r="B49" s="15"/>
      <c r="C49" s="15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15"/>
      <c r="B50" s="15"/>
      <c r="C50" s="15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15"/>
      <c r="B51" s="15"/>
      <c r="C51" s="15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15"/>
      <c r="B52" s="15"/>
      <c r="C52" s="15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15"/>
      <c r="B53" s="15"/>
      <c r="C53" s="15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15"/>
      <c r="B54" s="15"/>
      <c r="C54" s="15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15"/>
      <c r="B55" s="15"/>
      <c r="C55" s="15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15"/>
      <c r="B56" s="15"/>
      <c r="C56" s="15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15"/>
      <c r="B57" s="15"/>
      <c r="C57" s="15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15"/>
      <c r="B58" s="15"/>
      <c r="C58" s="15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15"/>
      <c r="B59" s="15"/>
      <c r="C59" s="15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15"/>
      <c r="B60" s="15"/>
      <c r="C60" s="15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15"/>
      <c r="B61" s="15"/>
      <c r="C61" s="15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15"/>
      <c r="B62" s="15"/>
      <c r="C62" s="15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15"/>
      <c r="B63" s="15"/>
      <c r="C63" s="15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15"/>
      <c r="B64" s="15"/>
      <c r="C64" s="15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15"/>
      <c r="B65" s="15"/>
      <c r="C65" s="15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15"/>
      <c r="B66" s="15"/>
      <c r="C66" s="15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15"/>
      <c r="B67" s="15"/>
      <c r="C67" s="15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15"/>
      <c r="B68" s="15"/>
      <c r="C68" s="15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15"/>
      <c r="B69" s="15"/>
      <c r="C69" s="15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15"/>
      <c r="B70" s="15"/>
      <c r="C70" s="15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15"/>
      <c r="B71" s="15"/>
      <c r="C71" s="15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15"/>
      <c r="B72" s="15"/>
      <c r="C72" s="15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15"/>
      <c r="B73" s="15"/>
      <c r="C73" s="15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15"/>
      <c r="B74" s="15"/>
      <c r="C74" s="15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15"/>
      <c r="B75" s="15"/>
      <c r="C75" s="15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15"/>
      <c r="B76" s="15"/>
      <c r="C76" s="15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15"/>
      <c r="B77" s="15"/>
      <c r="C77" s="15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15"/>
      <c r="B78" s="15"/>
      <c r="C78" s="15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15"/>
      <c r="B79" s="15"/>
      <c r="C79" s="15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15"/>
      <c r="B80" s="15"/>
      <c r="C80" s="15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15"/>
      <c r="B81" s="15"/>
      <c r="C81" s="15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15"/>
      <c r="B82" s="15"/>
      <c r="C82" s="1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15"/>
      <c r="B83" s="15"/>
      <c r="C83" s="15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15"/>
      <c r="B84" s="15"/>
      <c r="C84" s="15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15"/>
      <c r="B85" s="15"/>
      <c r="C85" s="15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15"/>
      <c r="B86" s="15"/>
      <c r="C86" s="15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15"/>
      <c r="B87" s="15"/>
      <c r="C87" s="15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15"/>
      <c r="B88" s="15"/>
      <c r="C88" s="15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15"/>
      <c r="B89" s="15"/>
      <c r="C89" s="15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15"/>
      <c r="B90" s="15"/>
      <c r="C90" s="15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15"/>
      <c r="B91" s="15"/>
      <c r="C91" s="15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15"/>
      <c r="B92" s="15"/>
      <c r="C92" s="15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15"/>
      <c r="B93" s="15"/>
      <c r="C93" s="15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15"/>
      <c r="B94" s="15"/>
      <c r="C94" s="15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15"/>
      <c r="B95" s="15"/>
      <c r="C95" s="15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15"/>
      <c r="B96" s="15"/>
      <c r="C96" s="15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15"/>
      <c r="B97" s="15"/>
      <c r="C97" s="15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15"/>
      <c r="B98" s="15"/>
      <c r="C98" s="15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15"/>
      <c r="B99" s="15"/>
      <c r="C99" s="15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15"/>
      <c r="B100" s="15"/>
      <c r="C100" s="15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15"/>
      <c r="B101" s="15"/>
      <c r="C101" s="15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15"/>
      <c r="B102" s="15"/>
      <c r="C102" s="15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15"/>
      <c r="B103" s="15"/>
      <c r="C103" s="15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15"/>
      <c r="B104" s="15"/>
      <c r="C104" s="15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15"/>
      <c r="B105" s="15"/>
      <c r="C105" s="15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15"/>
      <c r="B106" s="15"/>
      <c r="C106" s="15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15"/>
      <c r="B107" s="15"/>
      <c r="C107" s="15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15"/>
      <c r="B108" s="15"/>
      <c r="C108" s="15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15"/>
      <c r="B109" s="15"/>
      <c r="C109" s="15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15"/>
      <c r="B110" s="15"/>
      <c r="C110" s="15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15"/>
      <c r="B111" s="15"/>
      <c r="C111" s="15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15"/>
      <c r="B112" s="15"/>
      <c r="C112" s="15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15"/>
      <c r="B113" s="15"/>
      <c r="C113" s="15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15"/>
      <c r="B114" s="15"/>
      <c r="C114" s="15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15"/>
      <c r="B115" s="15"/>
      <c r="C115" s="15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15"/>
      <c r="B116" s="15"/>
      <c r="C116" s="15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15"/>
      <c r="B117" s="15"/>
      <c r="C117" s="15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15"/>
      <c r="B118" s="15"/>
      <c r="C118" s="15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15"/>
      <c r="B119" s="15"/>
      <c r="C119" s="15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15"/>
      <c r="B120" s="15"/>
      <c r="C120" s="15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15"/>
      <c r="B121" s="15"/>
      <c r="C121" s="15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15"/>
      <c r="B122" s="15"/>
      <c r="C122" s="15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15"/>
      <c r="B123" s="15"/>
      <c r="C123" s="15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15"/>
      <c r="B124" s="15"/>
      <c r="C124" s="15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15"/>
      <c r="B125" s="15"/>
      <c r="C125" s="15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15"/>
      <c r="B126" s="15"/>
      <c r="C126" s="15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15"/>
      <c r="B127" s="15"/>
      <c r="C127" s="15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15"/>
      <c r="B128" s="15"/>
      <c r="C128" s="15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15"/>
      <c r="B129" s="15"/>
      <c r="C129" s="15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15"/>
      <c r="B130" s="15"/>
      <c r="C130" s="15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15"/>
      <c r="B131" s="15"/>
      <c r="C131" s="15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15"/>
      <c r="B132" s="15"/>
      <c r="C132" s="15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15"/>
      <c r="B133" s="15"/>
      <c r="C133" s="15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15"/>
      <c r="B134" s="15"/>
      <c r="C134" s="15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15"/>
      <c r="B135" s="15"/>
      <c r="C135" s="15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15"/>
      <c r="B136" s="15"/>
      <c r="C136" s="15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15"/>
      <c r="B137" s="15"/>
      <c r="C137" s="15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15"/>
      <c r="B138" s="15"/>
      <c r="C138" s="15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15"/>
      <c r="B139" s="15"/>
      <c r="C139" s="15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15"/>
      <c r="B140" s="15"/>
      <c r="C140" s="15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15"/>
      <c r="B141" s="15"/>
      <c r="C141" s="15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15"/>
      <c r="B142" s="15"/>
      <c r="C142" s="15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15"/>
      <c r="B143" s="15"/>
      <c r="C143" s="15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15"/>
      <c r="B144" s="15"/>
      <c r="C144" s="15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15"/>
      <c r="B145" s="15"/>
      <c r="C145" s="15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15"/>
      <c r="B146" s="15"/>
      <c r="C146" s="15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15"/>
      <c r="B147" s="15"/>
      <c r="C147" s="15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15"/>
      <c r="B148" s="15"/>
      <c r="C148" s="15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15"/>
      <c r="B149" s="15"/>
      <c r="C149" s="15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15"/>
      <c r="B150" s="15"/>
      <c r="C150" s="15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15"/>
      <c r="B151" s="15"/>
      <c r="C151" s="15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15"/>
      <c r="B152" s="15"/>
      <c r="C152" s="15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15"/>
      <c r="B153" s="15"/>
      <c r="C153" s="15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15"/>
      <c r="B154" s="15"/>
      <c r="C154" s="15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15"/>
      <c r="B155" s="15"/>
      <c r="C155" s="15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15"/>
      <c r="B156" s="15"/>
      <c r="C156" s="15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15"/>
      <c r="B157" s="15"/>
      <c r="C157" s="15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15"/>
      <c r="B158" s="15"/>
      <c r="C158" s="15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15"/>
      <c r="B159" s="15"/>
      <c r="C159" s="15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15"/>
      <c r="B160" s="15"/>
      <c r="C160" s="15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15"/>
      <c r="B161" s="15"/>
      <c r="C161" s="15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15"/>
      <c r="B162" s="15"/>
      <c r="C162" s="15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15"/>
      <c r="B163" s="15"/>
      <c r="C163" s="15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15"/>
      <c r="B164" s="15"/>
      <c r="C164" s="15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15"/>
      <c r="B165" s="15"/>
      <c r="C165" s="15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15"/>
      <c r="B166" s="15"/>
      <c r="C166" s="15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15"/>
      <c r="B167" s="15"/>
      <c r="C167" s="15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15"/>
      <c r="B168" s="15"/>
      <c r="C168" s="15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15"/>
      <c r="B169" s="15"/>
      <c r="C169" s="15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15"/>
      <c r="B170" s="15"/>
      <c r="C170" s="15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15"/>
      <c r="B171" s="15"/>
      <c r="C171" s="15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15"/>
      <c r="B172" s="15"/>
      <c r="C172" s="15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15"/>
      <c r="B173" s="15"/>
      <c r="C173" s="15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15"/>
      <c r="B174" s="15"/>
      <c r="C174" s="15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15"/>
      <c r="B175" s="15"/>
      <c r="C175" s="15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15"/>
      <c r="B176" s="15"/>
      <c r="C176" s="15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15"/>
      <c r="B177" s="15"/>
      <c r="C177" s="15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15"/>
      <c r="B178" s="15"/>
      <c r="C178" s="15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15"/>
      <c r="B179" s="15"/>
      <c r="C179" s="15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15"/>
      <c r="B180" s="15"/>
      <c r="C180" s="15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15"/>
      <c r="B181" s="15"/>
      <c r="C181" s="15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15"/>
      <c r="B182" s="15"/>
      <c r="C182" s="15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15"/>
      <c r="B183" s="15"/>
      <c r="C183" s="15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15"/>
      <c r="B184" s="15"/>
      <c r="C184" s="15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15"/>
      <c r="B185" s="15"/>
      <c r="C185" s="15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15"/>
      <c r="B186" s="15"/>
      <c r="C186" s="15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15"/>
      <c r="B187" s="15"/>
      <c r="C187" s="15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15"/>
      <c r="B188" s="15"/>
      <c r="C188" s="15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15"/>
      <c r="B189" s="15"/>
      <c r="C189" s="15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15"/>
      <c r="B190" s="15"/>
      <c r="C190" s="15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15"/>
      <c r="B191" s="15"/>
      <c r="C191" s="15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15"/>
      <c r="B192" s="15"/>
      <c r="C192" s="15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15"/>
      <c r="B193" s="15"/>
      <c r="C193" s="15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15"/>
      <c r="B194" s="15"/>
      <c r="C194" s="15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15"/>
      <c r="B195" s="15"/>
      <c r="C195" s="15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15"/>
      <c r="B196" s="15"/>
      <c r="C196" s="15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15"/>
      <c r="B197" s="15"/>
      <c r="C197" s="15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15"/>
      <c r="B198" s="15"/>
      <c r="C198" s="15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15"/>
      <c r="B199" s="15"/>
      <c r="C199" s="15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15"/>
      <c r="B200" s="15"/>
      <c r="C200" s="15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15"/>
      <c r="B201" s="15"/>
      <c r="C201" s="15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15"/>
      <c r="B202" s="15"/>
      <c r="C202" s="15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15"/>
      <c r="B203" s="15"/>
      <c r="C203" s="15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15"/>
      <c r="B204" s="15"/>
      <c r="C204" s="15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15"/>
      <c r="B205" s="15"/>
      <c r="C205" s="15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15"/>
      <c r="B206" s="15"/>
      <c r="C206" s="15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15"/>
      <c r="B207" s="15"/>
      <c r="C207" s="15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15"/>
      <c r="B208" s="15"/>
      <c r="C208" s="15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15"/>
      <c r="B209" s="15"/>
      <c r="C209" s="15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15"/>
      <c r="B210" s="15"/>
      <c r="C210" s="15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15"/>
      <c r="B211" s="15"/>
      <c r="C211" s="15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15"/>
      <c r="B212" s="15"/>
      <c r="C212" s="15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15"/>
      <c r="B213" s="15"/>
      <c r="C213" s="15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15"/>
      <c r="B214" s="15"/>
      <c r="C214" s="15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15"/>
      <c r="B215" s="15"/>
      <c r="C215" s="15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15"/>
      <c r="B216" s="15"/>
      <c r="C216" s="15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15"/>
      <c r="B217" s="15"/>
      <c r="C217" s="15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15"/>
      <c r="B218" s="15"/>
      <c r="C218" s="15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15"/>
      <c r="B219" s="15"/>
      <c r="C219" s="15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15"/>
      <c r="B220" s="15"/>
      <c r="C220" s="15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2023-03-02T16:19:59Z</dcterms:created>
  <dc:creator>Carolina Pereira de Araújo;Jônatas Bueno;Ester Oliveira</dc:creator>
</cp:coreProperties>
</file>